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91" windowWidth="9495" windowHeight="4530" tabRatio="697" firstSheet="3" activeTab="8"/>
  </bookViews>
  <sheets>
    <sheet name="CashFlow" sheetId="1" state="hidden" r:id="rId1"/>
    <sheet name="Balance Sheet-p1" sheetId="2" r:id="rId2"/>
    <sheet name="Income Statement-p2" sheetId="3" r:id="rId3"/>
    <sheet name="Equity QTD-p3" sheetId="4" r:id="rId4"/>
    <sheet name="Equity YTD-p4" sheetId="5" r:id="rId5"/>
    <sheet name="Earned Incurred QTD-p5" sheetId="6" r:id="rId6"/>
    <sheet name="Earned Incurred YTD-p6" sheetId="7" r:id="rId7"/>
    <sheet name="Premiums QTD-p7" sheetId="8" r:id="rId8"/>
    <sheet name="Premiums YTD-p8" sheetId="9" r:id="rId9"/>
    <sheet name="(6)Losses Incurred YTD-p1" sheetId="10" state="hidden" r:id="rId10"/>
    <sheet name="Losses Incurred QTD-p9" sheetId="11" r:id="rId11"/>
    <sheet name="Losses Incurred YTD-p10" sheetId="12" r:id="rId12"/>
    <sheet name="Loss Expenses QTD-p11" sheetId="13" r:id="rId13"/>
    <sheet name="Loss Expenses YTD-p12" sheetId="14" r:id="rId14"/>
    <sheet name="Business Summary" sheetId="15" state="hidden" r:id="rId15"/>
    <sheet name="BP-highlights-1" sheetId="16" state="hidden" r:id="rId16"/>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Print_Area" localSheetId="9">'(6)Losses Incurred YTD-p1'!$A$1:$G$37</definedName>
    <definedName name="_xlnm.Print_Area" localSheetId="1">'Balance Sheet-p1'!$A$1:$E$47</definedName>
    <definedName name="_xlnm.Print_Area" localSheetId="15">'BP-highlights-1'!$A$1:$H$39</definedName>
    <definedName name="_xlnm.Print_Area" localSheetId="0">'CashFlow'!$A$1:$M$56</definedName>
    <definedName name="_xlnm.Print_Area" localSheetId="5">'Earned Incurred QTD-p5'!$A$1:$D$54</definedName>
    <definedName name="_xlnm.Print_Area" localSheetId="6">'Earned Incurred YTD-p6'!$A$1:$D$54</definedName>
    <definedName name="_xlnm.Print_Area" localSheetId="3">'Equity QTD-p3'!$A$1:$G$55</definedName>
    <definedName name="_xlnm.Print_Area" localSheetId="4">'Equity YTD-p4'!$A$1:$G$55</definedName>
    <definedName name="_xlnm.Print_Area" localSheetId="2">'Income Statement-p2'!$A$1:$G$38</definedName>
    <definedName name="_xlnm.Print_Area" localSheetId="12">'Loss Expenses QTD-p11'!$A$1:$G$30</definedName>
    <definedName name="_xlnm.Print_Area" localSheetId="13">'Loss Expenses YTD-p12'!$A$1:$G$30</definedName>
    <definedName name="_xlnm.Print_Area" localSheetId="10">'Losses Incurred QTD-p9'!$A$1:$G$30</definedName>
    <definedName name="_xlnm.Print_Area" localSheetId="11">'Losses Incurred YTD-p10'!$A$1:$G$38</definedName>
    <definedName name="_xlnm.Print_Area" localSheetId="7">'Premiums QTD-p7'!$A$1:$G$33</definedName>
  </definedNames>
  <calcPr fullCalcOnLoad="1" iterate="1" iterateCount="50" iterateDelta="0.001"/>
</workbook>
</file>

<file path=xl/comments15.xml><?xml version="1.0" encoding="utf-8"?>
<comments xmlns="http://schemas.openxmlformats.org/spreadsheetml/2006/main">
  <authors>
    <author>njiua</author>
  </authors>
  <commentList>
    <comment ref="B28" authorId="0">
      <text>
        <r>
          <t/>
        </r>
      </text>
    </comment>
  </commentList>
</comments>
</file>

<file path=xl/comments16.xml><?xml version="1.0" encoding="utf-8"?>
<comments xmlns="http://schemas.openxmlformats.org/spreadsheetml/2006/main">
  <authors>
    <author>njiua</author>
  </authors>
  <commentList>
    <comment ref="B28" authorId="0">
      <text>
        <r>
          <t/>
        </r>
      </text>
    </comment>
  </commentList>
</comments>
</file>

<file path=xl/sharedStrings.xml><?xml version="1.0" encoding="utf-8"?>
<sst xmlns="http://schemas.openxmlformats.org/spreadsheetml/2006/main" count="662" uniqueCount="323">
  <si>
    <t>*SEE NOTE BELOW</t>
  </si>
  <si>
    <t xml:space="preserve">     CRIME</t>
  </si>
  <si>
    <t xml:space="preserve">       FIRE</t>
  </si>
  <si>
    <t xml:space="preserve">       ALLIED </t>
  </si>
  <si>
    <t xml:space="preserve">       CRIME</t>
  </si>
  <si>
    <t>INCURRED LOSSES</t>
  </si>
  <si>
    <t>I.B.N.R. (INCL. IN CURRENT RESERVES)</t>
  </si>
  <si>
    <t>STATISTICAL REPORT ON LOSS EXPENSES</t>
  </si>
  <si>
    <t>(INCLUDES ALLOCATED AND UNALLOCATED LOSS EXPENSES)</t>
  </si>
  <si>
    <t>LOSS EXPENSES PAID              (ALAE AND ULAE)</t>
  </si>
  <si>
    <t>ALLIED</t>
  </si>
  <si>
    <t>NJIUA</t>
  </si>
  <si>
    <t xml:space="preserve">    FIRE</t>
  </si>
  <si>
    <t xml:space="preserve">    CRIME</t>
  </si>
  <si>
    <t>Quarter Ending Dec. 31,</t>
  </si>
  <si>
    <t>Twelve Months Ending Dec. 31,</t>
  </si>
  <si>
    <t>Increase/(Decrease)</t>
  </si>
  <si>
    <t xml:space="preserve">I.B.N.R. - Increase/(Decrease) </t>
  </si>
  <si>
    <t xml:space="preserve">      POST RETIREMENT BENEFITS (other than pensions)</t>
  </si>
  <si>
    <t xml:space="preserve">      DEFINED BENEFIT PENSION PLAN</t>
  </si>
  <si>
    <t xml:space="preserve">     FIRE</t>
  </si>
  <si>
    <t xml:space="preserve">      SUNDRY RECEIVABLE</t>
  </si>
  <si>
    <t>Description</t>
  </si>
  <si>
    <t xml:space="preserve">    ALLIED </t>
  </si>
  <si>
    <t xml:space="preserve">      ADVANCE PREMIUMS</t>
  </si>
  <si>
    <t>YEAR-TO-DATE</t>
  </si>
  <si>
    <t>EDP Equipment</t>
  </si>
  <si>
    <t>Prepaid Taxes - Chg in Equity</t>
  </si>
  <si>
    <t>TOTAL        I.B.N.R.</t>
  </si>
  <si>
    <t>Underwriting Gain (Loss)</t>
  </si>
  <si>
    <t>Net Gain (Loss)</t>
  </si>
  <si>
    <t>41000-91000</t>
  </si>
  <si>
    <t>POLICY YEAR 2003</t>
  </si>
  <si>
    <t>POLICY YEAR 2002</t>
  </si>
  <si>
    <t>Change in Reserve for Taxes &amp; Fees</t>
  </si>
  <si>
    <t>Net Taxes &amp; Fees Incurred</t>
  </si>
  <si>
    <t xml:space="preserve">     LOSS - CASE BASIS</t>
  </si>
  <si>
    <t xml:space="preserve">     OTHER CHARGES</t>
  </si>
  <si>
    <t xml:space="preserve">     PENSION OBLIGATIONS--SSAP #8</t>
  </si>
  <si>
    <t xml:space="preserve">      AMOUNTS HELD FOR OTHERS</t>
  </si>
  <si>
    <t>Less Salvage &amp; Subrogation</t>
  </si>
  <si>
    <t>New  Jersey  Insurance  Underwriting  Association</t>
  </si>
  <si>
    <t>Financial Highlights</t>
  </si>
  <si>
    <t>( U n a u d i t e d )</t>
  </si>
  <si>
    <t>PREMIUM WRITTEN</t>
  </si>
  <si>
    <t>PREMIUMS EARNED</t>
  </si>
  <si>
    <t>LOSSES INCURRED</t>
  </si>
  <si>
    <t>CLAIM EXPENSES INCURRED</t>
  </si>
  <si>
    <t>EXPENSES INCURRED</t>
  </si>
  <si>
    <t>ADD INVESTMENT INCOME</t>
  </si>
  <si>
    <t>LOSS RATIO</t>
  </si>
  <si>
    <t>EXPENSE RATIO</t>
  </si>
  <si>
    <t>COMBINED RATIO</t>
  </si>
  <si>
    <t>A/C #</t>
  </si>
  <si>
    <t>Crime Plan</t>
  </si>
  <si>
    <t>Combined</t>
  </si>
  <si>
    <t>Direct to Surplus</t>
  </si>
  <si>
    <t>Premiums Collected</t>
  </si>
  <si>
    <t>U/W Expense</t>
  </si>
  <si>
    <t>Net Inv Inc Collected</t>
  </si>
  <si>
    <t>Change in Cash</t>
  </si>
  <si>
    <t>Cash &amp; ST Inv</t>
  </si>
  <si>
    <t>Suspense Accts(T/B):</t>
  </si>
  <si>
    <t>29220-250</t>
  </si>
  <si>
    <t>Prem Overpayments</t>
  </si>
  <si>
    <t>29000-90</t>
  </si>
  <si>
    <t>Premium Suspense</t>
  </si>
  <si>
    <t>NSF Suspense</t>
  </si>
  <si>
    <t>Investment Income Accrued</t>
  </si>
  <si>
    <t>Other Assets:</t>
  </si>
  <si>
    <t>13400/13150</t>
  </si>
  <si>
    <t>Other A/R</t>
  </si>
  <si>
    <t>14200-250</t>
  </si>
  <si>
    <t>Liabilities &amp; Reserves:</t>
  </si>
  <si>
    <t>22-23100</t>
  </si>
  <si>
    <t>Unpaid Losses Reserves</t>
  </si>
  <si>
    <t>Unpaid Losses Pay</t>
  </si>
  <si>
    <t>23000-100</t>
  </si>
  <si>
    <t>Unpaid ALE</t>
  </si>
  <si>
    <t>Unpaid ALE Payable</t>
  </si>
  <si>
    <t>Unpaid UW exp</t>
  </si>
  <si>
    <t>26000-28540</t>
  </si>
  <si>
    <t>Accrued Exp</t>
  </si>
  <si>
    <t>Unfunded Pension Liability</t>
  </si>
  <si>
    <t>Accrued Prem Tax</t>
  </si>
  <si>
    <t>Unearned Premium res</t>
  </si>
  <si>
    <t>Equities:</t>
  </si>
  <si>
    <t>Non-admitted assets Chg</t>
  </si>
  <si>
    <t>Assessments Net Chg</t>
  </si>
  <si>
    <t>31000+33</t>
  </si>
  <si>
    <t>Equity</t>
  </si>
  <si>
    <t>Pg. #6 (E/U)</t>
  </si>
  <si>
    <t>Pg 4 Net Gain/(Loss)</t>
  </si>
  <si>
    <t>Change in UPR</t>
  </si>
  <si>
    <t>Paid Losses</t>
  </si>
  <si>
    <t>Paid ALE</t>
  </si>
  <si>
    <t>Paid ULE</t>
  </si>
  <si>
    <t>Losses recovered (S&amp;S)</t>
  </si>
  <si>
    <t>Change in Loss  Reserves</t>
  </si>
  <si>
    <t>Other UW Exp</t>
  </si>
  <si>
    <t>Commission</t>
  </si>
  <si>
    <t>Premium Tax</t>
  </si>
  <si>
    <t>Small Balance Write off</t>
  </si>
  <si>
    <t>Conversion Adjustment</t>
  </si>
  <si>
    <t>IS Control Total</t>
  </si>
  <si>
    <t>(6)</t>
  </si>
  <si>
    <t>(1)</t>
  </si>
  <si>
    <t>(2)</t>
  </si>
  <si>
    <t>(3)</t>
  </si>
  <si>
    <t>(4)</t>
  </si>
  <si>
    <t>(5)</t>
  </si>
  <si>
    <t>Accruals</t>
  </si>
  <si>
    <t>Cash Flow Analysis 2002</t>
  </si>
  <si>
    <t>C/F = NET EQUITY @ 12/02</t>
  </si>
  <si>
    <t>61100+61105</t>
  </si>
  <si>
    <t>C/F = NET GAIN/LOSS @ 12/02</t>
  </si>
  <si>
    <t>5112-5121-51310</t>
  </si>
  <si>
    <t>E/I page 6</t>
  </si>
  <si>
    <t>Net Change in Equity @ 12/31/2002</t>
  </si>
  <si>
    <t xml:space="preserve">     TAXES &amp; FEES </t>
  </si>
  <si>
    <t xml:space="preserve">      RETURN PREMIUMS</t>
  </si>
  <si>
    <t xml:space="preserve">      CLAIM CHECKS PAYABLE</t>
  </si>
  <si>
    <t>PRIOR LOSS  EXPENSE RESERVE     @ 12-31-02</t>
  </si>
  <si>
    <t xml:space="preserve">INCURRED LOSSES </t>
  </si>
  <si>
    <t>Other Operating Exp. Paid</t>
  </si>
  <si>
    <t>Change in Other Underwriting Exp. Reserve</t>
  </si>
  <si>
    <t>ALAE &amp; ULAE LOSS                  EXPENSES  INCURRED</t>
  </si>
  <si>
    <t>Total Underwriting Exp. Paid</t>
  </si>
  <si>
    <t>Total Other Underwriting Exp. Incurred</t>
  </si>
  <si>
    <t>Total Loss &amp; Underwriting Exp. Incurred</t>
  </si>
  <si>
    <t>Prior  Reserve</t>
  </si>
  <si>
    <t>POLICY YEAR 1999 &amp; PRIOR</t>
  </si>
  <si>
    <t>CURRENT LOSS RESERVE (06-30-03)</t>
  </si>
  <si>
    <t xml:space="preserve">     TAXES &amp; FEES INCURRED</t>
  </si>
  <si>
    <t xml:space="preserve">     TAXES &amp; FEES PAID</t>
  </si>
  <si>
    <t>Commissions Expense</t>
  </si>
  <si>
    <t>CURRENT RESERVES</t>
  </si>
  <si>
    <t>PRIOR RESERVES</t>
  </si>
  <si>
    <t xml:space="preserve">     ASSOCIATION EXPENSES </t>
  </si>
  <si>
    <t>POLICY YEAR 2001</t>
  </si>
  <si>
    <r>
      <t xml:space="preserve">NET OPERATING PROFIT </t>
    </r>
    <r>
      <rPr>
        <b/>
        <sz val="11"/>
        <color indexed="10"/>
        <rFont val="Century Schoolbook"/>
        <family val="1"/>
      </rPr>
      <t>(LOSS)</t>
    </r>
  </si>
  <si>
    <t>G/L #</t>
  </si>
  <si>
    <t>Net Investment Income Received</t>
  </si>
  <si>
    <t>Net Investment Income Earned</t>
  </si>
  <si>
    <t>PRIOR LOSS RESERVES (12-31-02)</t>
  </si>
  <si>
    <t>PRIOR UNEARNED PREMIUM RESERVE @ 12-31-02</t>
  </si>
  <si>
    <t>QUARTER-TO-DATE</t>
  </si>
  <si>
    <t>BALANCE SHEET</t>
  </si>
  <si>
    <t>LEDGER ASSETS</t>
  </si>
  <si>
    <t>NON-LEDGER ASSETS</t>
  </si>
  <si>
    <t>NON- ADMITTED ASSETS</t>
  </si>
  <si>
    <t>NET ADMITTED ASSETS</t>
  </si>
  <si>
    <t xml:space="preserve">     CASH &amp; SHORT TERM</t>
  </si>
  <si>
    <t xml:space="preserve">     INVESTMENTS</t>
  </si>
  <si>
    <t>POLICY YEAR 2000</t>
  </si>
  <si>
    <t>UNDERWRITING STATEMENT</t>
  </si>
  <si>
    <t>Other Underwriting Exp. Incurred</t>
  </si>
  <si>
    <t>Boards, Bureaus, &amp; Underwriting Inspections Paid</t>
  </si>
  <si>
    <t>Investment Income</t>
  </si>
  <si>
    <t>% Change</t>
  </si>
  <si>
    <t>Advance Premiums</t>
  </si>
  <si>
    <t>Change</t>
  </si>
  <si>
    <t>51100+05+08-01</t>
  </si>
  <si>
    <t>51100+05+08-02</t>
  </si>
  <si>
    <t>51100+05+08-90</t>
  </si>
  <si>
    <t>Manually input</t>
  </si>
  <si>
    <t>NEW JERSEY INSURANCE UNDERWRITING ASSOCIATION</t>
  </si>
  <si>
    <t>TOTAL</t>
  </si>
  <si>
    <t>ASSETS</t>
  </si>
  <si>
    <t xml:space="preserve">     ACCRUED INTEREST</t>
  </si>
  <si>
    <t xml:space="preserve">     FURNITURE &amp; EQUIPMENT</t>
  </si>
  <si>
    <r>
      <t xml:space="preserve">UNDERWRITING PROFIT </t>
    </r>
    <r>
      <rPr>
        <b/>
        <sz val="11"/>
        <color indexed="10"/>
        <rFont val="Century Schoolbook"/>
        <family val="1"/>
      </rPr>
      <t>(LOSS)</t>
    </r>
  </si>
  <si>
    <t xml:space="preserve">     ELECTRONIC DATA PROCESSING EQUIP.</t>
  </si>
  <si>
    <t xml:space="preserve">     LEASEHOLD IMPROVEMENTS</t>
  </si>
  <si>
    <t xml:space="preserve">          TOTAL ASSETS</t>
  </si>
  <si>
    <t>LIABILITIES</t>
  </si>
  <si>
    <t xml:space="preserve"> </t>
  </si>
  <si>
    <t xml:space="preserve">          TOTAL LIABILITIES</t>
  </si>
  <si>
    <t>RESERVES</t>
  </si>
  <si>
    <t xml:space="preserve">     UNEARNED PREMIUMS</t>
  </si>
  <si>
    <t xml:space="preserve">     TAXES &amp; FEES</t>
  </si>
  <si>
    <t>TOTAL LIABILITIES &amp; RESERVES</t>
  </si>
  <si>
    <t>EQUITY ACCOUNT</t>
  </si>
  <si>
    <t>TOTAL LIABILITIES PLUS EQUITY ACCOUNT</t>
  </si>
  <si>
    <t xml:space="preserve"> INCOME STATEMENT</t>
  </si>
  <si>
    <t>YEAR</t>
  </si>
  <si>
    <t>TO DATE</t>
  </si>
  <si>
    <t>INCURRED LOSSES (Excluding IBNR)</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</si>
  <si>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</si>
  <si>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</si>
  <si>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</si>
  <si>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</si>
  <si>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</si>
  <si>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</si>
  <si>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</si>
  <si>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TOTAL DEDUCTIONS</t>
  </si>
  <si>
    <t>OTHER INCOME</t>
  </si>
  <si>
    <t xml:space="preserve">     NET INVESTMENT INCOME</t>
  </si>
  <si>
    <t xml:space="preserve">     NET EQUITY-PRIOR</t>
  </si>
  <si>
    <t xml:space="preserve">     CHANGE IN NONADMITTED ASSETS</t>
  </si>
  <si>
    <t>CHANGE IN EQUITY</t>
  </si>
  <si>
    <t xml:space="preserve"> EQUITY ACCOUNT</t>
  </si>
  <si>
    <t>POLICY YEAR 1999</t>
  </si>
  <si>
    <t>INCOME RECEIVED</t>
  </si>
  <si>
    <t xml:space="preserve">      PREMIUMS WRITTEN</t>
  </si>
  <si>
    <t xml:space="preserve">      INVESTMENT INCOME RECEIVED</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</si>
  <si>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</si>
  <si>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</si>
  <si>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</si>
  <si>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</si>
  <si>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</si>
  <si>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</si>
  <si>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</si>
  <si>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COMMISSIONS</t>
  </si>
  <si>
    <t xml:space="preserve">     BOARDS &amp; BUREAUS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</si>
  <si>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</si>
  <si>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</si>
  <si>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</si>
  <si>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</si>
  <si>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</si>
  <si>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</si>
  <si>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</si>
  <si>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</si>
  <si>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</si>
  <si>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 xml:space="preserve">     UNPAID LOSSES</t>
  </si>
  <si>
    <t xml:space="preserve">     UNPAID LOSS EXPENSES</t>
  </si>
  <si>
    <t xml:space="preserve">     UNPAID ASSOCIATION EXPENSES</t>
  </si>
  <si>
    <t xml:space="preserve">     UNPAID TAXES &amp; FEES</t>
  </si>
  <si>
    <t xml:space="preserve">     UNPAID LOSSES EXPENSES</t>
  </si>
  <si>
    <t>NET CHANGE IN EQUITY</t>
  </si>
  <si>
    <t>EARNED/INCURRED BASIS</t>
  </si>
  <si>
    <t/>
  </si>
  <si>
    <t>Premiums Written</t>
  </si>
  <si>
    <t>Current Unearned Reserve</t>
  </si>
  <si>
    <t>Prior Unearned Reserve</t>
  </si>
  <si>
    <t>Change in Unearned Premium Reserve</t>
  </si>
  <si>
    <t>Net Premium Earned</t>
  </si>
  <si>
    <t>Losses Paid</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</si>
  <si>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</si>
  <si>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</si>
  <si>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</si>
  <si>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</si>
  <si>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</si>
  <si>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</si>
  <si>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</si>
  <si>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</si>
  <si>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</si>
  <si>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</si>
  <si>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</si>
  <si>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</si>
  <si>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</si>
  <si>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</si>
  <si>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</si>
  <si>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</si>
  <si>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t>
  </si>
  <si>
    <t>Net Taxes Incurred</t>
  </si>
  <si>
    <t xml:space="preserve">Link to </t>
  </si>
  <si>
    <t>51100-05</t>
  </si>
  <si>
    <t>51110-51120</t>
  </si>
  <si>
    <t>51210+51310</t>
  </si>
  <si>
    <t>61100-61105</t>
  </si>
  <si>
    <t>62+63+65000</t>
  </si>
  <si>
    <t>71100-92000</t>
  </si>
  <si>
    <t>42000-42020</t>
  </si>
  <si>
    <t>42000-42020-12150</t>
  </si>
  <si>
    <t>51100 to 51130-01</t>
  </si>
  <si>
    <t>51100 to 51130-02</t>
  </si>
  <si>
    <t>51100 to 51130-90</t>
  </si>
  <si>
    <t>(51110-51120)</t>
  </si>
  <si>
    <t>Current Accrued Interest</t>
  </si>
  <si>
    <t>Prior Accrued Interest</t>
  </si>
  <si>
    <t>Change in Accrued Interest</t>
  </si>
  <si>
    <t>STATISTICAL REPORT ON PREMIUMS</t>
  </si>
  <si>
    <t>WRITTEN PREMIUMS</t>
  </si>
  <si>
    <t>FIRE</t>
  </si>
  <si>
    <t xml:space="preserve">ALLIED </t>
  </si>
  <si>
    <t>CRIME</t>
  </si>
  <si>
    <t xml:space="preserve">            TOTAL</t>
  </si>
  <si>
    <t>EARNED PREMIUM</t>
  </si>
  <si>
    <t xml:space="preserve">      PREPAID/(ACCRUED) PENSION COST</t>
  </si>
  <si>
    <t xml:space="preserve">                            TOTAL RESERVES</t>
  </si>
  <si>
    <t xml:space="preserve"> UNDERWRITING GAIN (LOSS)</t>
  </si>
  <si>
    <t xml:space="preserve"> NET GAIN (LOSS)</t>
  </si>
  <si>
    <r>
      <t xml:space="preserve">     NET GAIN</t>
    </r>
    <r>
      <rPr>
        <sz val="11"/>
        <color indexed="10"/>
        <rFont val="Century Schoolbook"/>
        <family val="1"/>
      </rPr>
      <t xml:space="preserve"> </t>
    </r>
    <r>
      <rPr>
        <sz val="11"/>
        <rFont val="Century Schoolbook"/>
        <family val="1"/>
      </rPr>
      <t>(LOSS) FOR PERIOD</t>
    </r>
  </si>
  <si>
    <t xml:space="preserve"> STATISTICAL REPORT ON LOSSES</t>
  </si>
  <si>
    <t xml:space="preserve">PAID LOSSES </t>
  </si>
  <si>
    <t>Net of Salvage and Subrogation Received</t>
  </si>
  <si>
    <t xml:space="preserve">      FIRE</t>
  </si>
  <si>
    <t xml:space="preserve">     ALLIED </t>
  </si>
  <si>
    <t>CURRENT YEAR</t>
  </si>
  <si>
    <t>PRIOR YEAR</t>
  </si>
  <si>
    <t xml:space="preserve">QUARTER-TO-DATE </t>
  </si>
  <si>
    <t xml:space="preserve">     LOSS - I.B.N.R.</t>
  </si>
  <si>
    <t xml:space="preserve">     LOSS EXPENSE - ALLOCATED</t>
  </si>
  <si>
    <t xml:space="preserve">     LOSS EXPENSE - UNALLOCATED</t>
  </si>
  <si>
    <t>YTD PERIOD ENDED DECEMBER 31, 2003</t>
  </si>
  <si>
    <t>CURRENT LOSS EXPENSE RESERVE        @ 12-31-03</t>
  </si>
  <si>
    <t>CURRENT LOSS EXPENSE RESERVE           @ 12-31-03</t>
  </si>
  <si>
    <t>QTD PERIOD ENDED DECEMBER 31, 2003</t>
  </si>
  <si>
    <t>PRIOR LOSS  EXPENSE RESERVE   @ 9-30-03</t>
  </si>
  <si>
    <t>CURRENT LOSS RESERVE (12-31-03)</t>
  </si>
  <si>
    <t>PRIOR LOSS RESERVES (9-30-03)</t>
  </si>
  <si>
    <t>CURRENT UNEARNED PREMIUM RESERVE  @ 12-31-03</t>
  </si>
  <si>
    <t>CURRENT UNEARNED PREMIUM RESERVE @ 12-31-03</t>
  </si>
  <si>
    <t>PRIOR UNEARNED PREMIUM RESERVE @ 9-30-03</t>
  </si>
  <si>
    <t>12-31-03</t>
  </si>
  <si>
    <t>AT DECEMBER 31, 2003</t>
  </si>
  <si>
    <t>NET EQUITY AT DECEMBER 31, 2003</t>
  </si>
  <si>
    <t xml:space="preserve">     NET EQUITY AT DECEMBER 31, 2003</t>
  </si>
  <si>
    <t xml:space="preserve">      OTHER PAYABLES</t>
  </si>
  <si>
    <t xml:space="preserve">     CHANGE IN PENSION OBLIGATION</t>
  </si>
  <si>
    <t>*Note: As required under the Terrorism Risk Insurance Act of 2002, Direct Earned Premium for Commercial business written is shown on page 8.</t>
  </si>
  <si>
    <t>*Note: The Terrorism Risk Insurance Act of 2002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four quarters:</t>
  </si>
  <si>
    <t>1-4 Family Tenant-Occupied</t>
  </si>
  <si>
    <t>Total Commercial Earned Premium</t>
  </si>
  <si>
    <t>Commercial</t>
  </si>
  <si>
    <t>1Q03</t>
  </si>
  <si>
    <t>2Q03</t>
  </si>
  <si>
    <t>3Q03</t>
  </si>
  <si>
    <t>4Q03</t>
  </si>
  <si>
    <t>Total</t>
  </si>
  <si>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</si>
  <si>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LOSS EXPENSES PAID                     (ALAE AND ULAE)</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</si>
</sst>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 numFmtId="167" formatCode="_(* #,##0.0_);_(* \(#,##0.0\);_(* &quot;-&quot;_);_(@_)"/>
    <numFmt numFmtId="168" formatCode="_(* #,##0.00_);_(* \(#,##0.00\);_(* &quot;-&quot;_);_(@_)"/>
    <numFmt numFmtId="169" formatCode="&quot;$&quot;#,##0.0_);\(&quot;$&quot;#,##0.0\)"/>
    <numFmt numFmtId="170" formatCode="_(* #,##0.0_);_(* \(#,##0.0\);_(* &quot;-&quot;??_);_(@_)"/>
    <numFmt numFmtId="171" formatCode="_(* #,##0.000_);_(* \(#,##0.000\);_(* &quot;-&quot;??_);_(@_)"/>
    <numFmt numFmtId="172" formatCode="&quot;$&quot;#,##0.000_);\(&quot;$&quot;#,##0.000\)"/>
    <numFmt numFmtId="173" formatCode="&quot;$&quot;#,##0.0_);[Red]\(&quot;$&quot;#,##0.0\)"/>
    <numFmt numFmtId="174" formatCode="&quot;$&quot;#,##0.000_);[Red]\(&quot;$&quot;#,##0.000\)"/>
    <numFmt numFmtId="175" formatCode="#,##0.0"/>
    <numFmt numFmtId="176" formatCode="mmmm\ d\,\ yyyy"/>
    <numFmt numFmtId="177" formatCode="&quot;Yes&quot;;&quot;Yes&quot;;&quot;No&quot;"/>
    <numFmt numFmtId="178" formatCode="&quot;True&quot;;&quot;True&quot;;&quot;False&quot;"/>
    <numFmt numFmtId="179" formatCode="&quot;On&quot;;&quot;On&quot;;&quot;Off&quot;"/>
    <numFmt numFmtId="180" formatCode="[$€-2]\ #,##0.00_);[Red]\([$€-2]\ #,##0.00\)"/>
  </numFmts>
  <fonts count="61">
    <font>
      <sz val="10"/>
      <name val="Arial"/>
      <family val="0"/>
    </font>
    <font>
      <b/>
      <sz val="10"/>
      <name val="Arial"/>
      <family val="0"/>
    </font>
    <font>
      <i/>
      <sz val="10"/>
      <name val="Arial"/>
      <family val="0"/>
    </font>
    <font>
      <b/>
      <i/>
      <sz val="10"/>
      <name val="Arial"/>
      <family val="0"/>
    </font>
    <font>
      <b/>
      <sz val="14"/>
      <name val="Century Schoolbook"/>
      <family val="1"/>
    </font>
    <font>
      <sz val="10"/>
      <name val="Century Schoolbook"/>
      <family val="1"/>
    </font>
    <font>
      <sz val="12"/>
      <name val="Century Schoolbook"/>
      <family val="1"/>
    </font>
    <font>
      <b/>
      <sz val="12"/>
      <name val="Century Schoolbook"/>
      <family val="1"/>
    </font>
    <font>
      <b/>
      <sz val="10"/>
      <name val="Century Schoolbook"/>
      <family val="1"/>
    </font>
    <font>
      <b/>
      <sz val="11"/>
      <name val="Century Schoolbook"/>
      <family val="1"/>
    </font>
    <font>
      <b/>
      <sz val="15"/>
      <name val="Century Schoolbook"/>
      <family val="1"/>
    </font>
    <font>
      <b/>
      <sz val="13"/>
      <name val="Century Schoolbook"/>
      <family val="1"/>
    </font>
    <font>
      <sz val="11"/>
      <name val="Century Schoolbook"/>
      <family val="1"/>
    </font>
    <font>
      <b/>
      <sz val="11"/>
      <color indexed="8"/>
      <name val="Century Schoolbook"/>
      <family val="1"/>
    </font>
    <font>
      <b/>
      <u val="single"/>
      <sz val="11"/>
      <name val="Century Schoolbook"/>
      <family val="1"/>
    </font>
    <font>
      <b/>
      <sz val="18"/>
      <name val="Century Schoolbook"/>
      <family val="1"/>
    </font>
    <font>
      <sz val="15"/>
      <name val="Century Schoolbook"/>
      <family val="1"/>
    </font>
    <font>
      <sz val="13"/>
      <name val="Century Schoolbook"/>
      <family val="1"/>
    </font>
    <font>
      <u val="single"/>
      <sz val="11"/>
      <name val="Century Schoolbook"/>
      <family val="1"/>
    </font>
    <font>
      <sz val="12"/>
      <color indexed="9"/>
      <name val="Century Schoolbook"/>
      <family val="1"/>
    </font>
    <font>
      <sz val="11"/>
      <color indexed="10"/>
      <name val="Century Schoolbook"/>
      <family val="1"/>
    </font>
    <font>
      <sz val="11"/>
      <color indexed="9"/>
      <name val="Century Schoolbook"/>
      <family val="1"/>
    </font>
    <font>
      <b/>
      <u val="single"/>
      <sz val="9"/>
      <name val="Century Schoolbook"/>
      <family val="1"/>
    </font>
    <font>
      <sz val="11"/>
      <name val="CG Times"/>
      <family val="1"/>
    </font>
    <font>
      <b/>
      <sz val="11"/>
      <name val="CG Times"/>
      <family val="0"/>
    </font>
    <font>
      <sz val="11"/>
      <color indexed="8"/>
      <name val="Century Schoolbook"/>
      <family val="1"/>
    </font>
    <font>
      <sz val="11"/>
      <color indexed="56"/>
      <name val="Century Schoolbook"/>
      <family val="1"/>
    </font>
    <font>
      <sz val="9"/>
      <name val="Century Schoolbook"/>
      <family val="1"/>
    </font>
    <font>
      <u val="single"/>
      <sz val="10"/>
      <color indexed="12"/>
      <name val="Arial"/>
      <family val="0"/>
    </font>
    <font>
      <u val="single"/>
      <sz val="10"/>
      <color indexed="20"/>
      <name val="Arial"/>
      <family val="0"/>
    </font>
    <font>
      <b/>
      <sz val="20"/>
      <name val="Century Schoolbook"/>
      <family val="1"/>
    </font>
    <font>
      <sz val="18"/>
      <name val="Century Schoolbook"/>
      <family val="1"/>
    </font>
    <font>
      <sz val="20"/>
      <name val="Century Schoolbook"/>
      <family val="1"/>
    </font>
    <font>
      <b/>
      <sz val="22"/>
      <name val="Century Schoolbook"/>
      <family val="1"/>
    </font>
    <font>
      <sz val="22"/>
      <name val="Century Schoolbook"/>
      <family val="1"/>
    </font>
    <font>
      <b/>
      <sz val="11"/>
      <color indexed="10"/>
      <name val="Century Schoolbook"/>
      <family val="1"/>
    </font>
    <font>
      <sz val="8"/>
      <name val="Tahoma"/>
      <family val="0"/>
    </font>
    <font>
      <b/>
      <sz val="24"/>
      <name val="Univers (W1)"/>
      <family val="0"/>
    </font>
    <font>
      <b/>
      <sz val="10"/>
      <color indexed="21"/>
      <name val="Univers (W1)"/>
      <family val="0"/>
    </font>
    <font>
      <b/>
      <sz val="10"/>
      <color indexed="51"/>
      <name val="Univers (W1)"/>
      <family val="0"/>
    </font>
    <font>
      <b/>
      <sz val="10"/>
      <name val="Univers (W1)"/>
      <family val="0"/>
    </font>
    <font>
      <sz val="10"/>
      <color indexed="20"/>
      <name val="Univers (W1)"/>
      <family val="0"/>
    </font>
    <font>
      <b/>
      <u val="single"/>
      <sz val="10"/>
      <name val="Univers (W1)"/>
      <family val="2"/>
    </font>
    <font>
      <b/>
      <u val="single"/>
      <sz val="10"/>
      <color indexed="21"/>
      <name val="Univers (W1)"/>
      <family val="0"/>
    </font>
    <font>
      <b/>
      <u val="single"/>
      <sz val="10"/>
      <color indexed="56"/>
      <name val="Univers (W1)"/>
      <family val="0"/>
    </font>
    <font>
      <b/>
      <u val="single"/>
      <sz val="10"/>
      <color indexed="20"/>
      <name val="Univers (W1)"/>
      <family val="0"/>
    </font>
    <font>
      <b/>
      <u val="single"/>
      <vertAlign val="subscript"/>
      <sz val="10"/>
      <name val="Univers (W1)"/>
      <family val="2"/>
    </font>
    <font>
      <b/>
      <sz val="10"/>
      <color indexed="56"/>
      <name val="Univers (W1)"/>
      <family val="0"/>
    </font>
    <font>
      <sz val="10"/>
      <name val="Univers (W1)"/>
      <family val="0"/>
    </font>
    <font>
      <sz val="10"/>
      <color indexed="21"/>
      <name val="Univers (W1)"/>
      <family val="0"/>
    </font>
    <font>
      <sz val="10"/>
      <color indexed="56"/>
      <name val="Univers (W1)"/>
      <family val="0"/>
    </font>
    <font>
      <b/>
      <sz val="10"/>
      <color indexed="20"/>
      <name val="Univers (W1)"/>
      <family val="0"/>
    </font>
    <font>
      <sz val="10"/>
      <color indexed="10"/>
      <name val="Arial"/>
      <family val="2"/>
    </font>
    <font>
      <b/>
      <sz val="10"/>
      <color indexed="9"/>
      <name val="Univers (W1)"/>
      <family val="0"/>
    </font>
    <font>
      <sz val="10"/>
      <color indexed="51"/>
      <name val="Univers (W1)"/>
      <family val="0"/>
    </font>
    <font>
      <b/>
      <sz val="10"/>
      <color indexed="8"/>
      <name val="Century Schoolbook"/>
      <family val="1"/>
    </font>
    <font>
      <b/>
      <i/>
      <sz val="11"/>
      <name val="Century Schoolbook"/>
      <family val="1"/>
    </font>
    <font>
      <sz val="10"/>
      <name val="Times New Roman"/>
      <family val="1"/>
    </font>
    <font>
      <b/>
      <u val="single"/>
      <sz val="10"/>
      <name val="Times New Roman"/>
      <family val="1"/>
    </font>
    <font>
      <b/>
      <sz val="10"/>
      <name val="Times New Roman"/>
      <family val="1"/>
    </font>
    <font>
      <b/>
      <sz val="8"/>
      <name val="Arial"/>
      <family val="2"/>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30">
    <border>
      <left/>
      <right/>
      <top/>
      <bottom/>
      <diagonal/>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color indexed="63"/>
      </left>
      <right style="thin"/>
      <top style="medium"/>
      <bottom>
        <color indexed="63"/>
      </bottom>
    </border>
    <border>
      <left>
        <color indexed="63"/>
      </left>
      <right>
        <color indexed="63"/>
      </right>
      <top style="medium"/>
      <bottom style="mediu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style="medium"/>
      <top style="medium"/>
      <bottom style="medium"/>
    </border>
    <border>
      <left>
        <color indexed="63"/>
      </left>
      <right>
        <color indexed="63"/>
      </right>
      <top style="thin"/>
      <bottom style="medium"/>
    </border>
    <border>
      <left>
        <color indexed="63"/>
      </left>
      <right style="medium"/>
      <top style="thin"/>
      <bottom style="medium"/>
    </border>
    <border>
      <left style="medium"/>
      <right style="medium"/>
      <top style="thin"/>
      <bottom style="medium"/>
    </border>
    <border>
      <left>
        <color indexed="63"/>
      </left>
      <right style="thin"/>
      <top style="thin"/>
      <bottom style="thin"/>
    </border>
    <border>
      <left>
        <color indexed="63"/>
      </left>
      <right style="thin"/>
      <top style="thin"/>
      <bottom style="double"/>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cellStyleXfs>
  <cellXfs count="536">
    <xf numFmtId="0" fontId="0" fillId="0" borderId="0" xfId="0" applyAlignment="1">
      <alignment/>
    </xf>
    <xf numFmtId="0" fontId="6" fillId="0" borderId="0" xfId="0" applyFont="1" applyAlignment="1">
      <alignment/>
    </xf>
    <xf numFmtId="0" fontId="8" fillId="0" borderId="0" xfId="0" applyFont="1" applyAlignment="1">
      <alignment horizontal="centerContinuous"/>
    </xf>
    <xf numFmtId="0" fontId="7" fillId="0" borderId="0" xfId="0" applyFont="1" applyAlignment="1">
      <alignment horizontal="centerContinuous"/>
    </xf>
    <xf numFmtId="0" fontId="10" fillId="0" borderId="0" xfId="0" applyFont="1" applyAlignment="1">
      <alignment/>
    </xf>
    <xf numFmtId="0" fontId="12" fillId="0" borderId="0" xfId="0" applyFont="1" applyFill="1" applyAlignment="1">
      <alignment/>
    </xf>
    <xf numFmtId="0" fontId="12" fillId="0" borderId="0" xfId="0" applyFont="1" applyAlignment="1">
      <alignment/>
    </xf>
    <xf numFmtId="0" fontId="14" fillId="0" borderId="0" xfId="0" applyFont="1" applyFill="1" applyAlignment="1">
      <alignment horizontal="left" wrapText="1"/>
    </xf>
    <xf numFmtId="42" fontId="12" fillId="0" borderId="0" xfId="18" applyFont="1" applyFill="1" applyAlignment="1">
      <alignment horizontal="left" wrapText="1"/>
    </xf>
    <xf numFmtId="42" fontId="12" fillId="0" borderId="0" xfId="18" applyFont="1" applyFill="1" applyAlignment="1">
      <alignment horizontal="left"/>
    </xf>
    <xf numFmtId="42" fontId="9" fillId="0" borderId="0" xfId="18" applyFont="1" applyFill="1" applyAlignment="1">
      <alignment horizontal="center" wrapText="1"/>
    </xf>
    <xf numFmtId="42" fontId="12" fillId="0" borderId="0" xfId="18" applyFont="1" applyFill="1" applyAlignment="1">
      <alignment horizontal="right" wrapText="1"/>
    </xf>
    <xf numFmtId="42" fontId="14" fillId="0" borderId="0" xfId="18" applyFont="1" applyFill="1" applyAlignment="1">
      <alignment horizontal="left" wrapText="1"/>
    </xf>
    <xf numFmtId="42" fontId="9" fillId="0" borderId="0" xfId="18" applyFont="1" applyFill="1" applyAlignment="1">
      <alignment horizontal="left"/>
    </xf>
    <xf numFmtId="0" fontId="12" fillId="0" borderId="0" xfId="0" applyFont="1" applyBorder="1" applyAlignment="1">
      <alignment horizontal="centerContinuous"/>
    </xf>
    <xf numFmtId="0" fontId="12" fillId="0" borderId="0" xfId="0" applyFont="1" applyBorder="1" applyAlignment="1">
      <alignment/>
    </xf>
    <xf numFmtId="0" fontId="4" fillId="0" borderId="0" xfId="0" applyFont="1" applyFill="1" applyAlignment="1">
      <alignment horizontal="centerContinuous"/>
    </xf>
    <xf numFmtId="0" fontId="4" fillId="0" borderId="0" xfId="0" applyFont="1" applyAlignment="1">
      <alignment/>
    </xf>
    <xf numFmtId="0" fontId="7" fillId="0" borderId="0" xfId="0" applyFont="1" applyBorder="1" applyAlignment="1">
      <alignment horizontal="centerContinuous"/>
    </xf>
    <xf numFmtId="0" fontId="5" fillId="0" borderId="0" xfId="0" applyFont="1" applyBorder="1" applyAlignment="1">
      <alignment/>
    </xf>
    <xf numFmtId="0" fontId="12" fillId="0" borderId="0" xfId="0" applyFont="1" applyBorder="1" applyAlignment="1">
      <alignment horizontal="left"/>
    </xf>
    <xf numFmtId="0" fontId="14" fillId="0" borderId="0" xfId="0" applyFont="1" applyBorder="1" applyAlignment="1">
      <alignment/>
    </xf>
    <xf numFmtId="38" fontId="12" fillId="0" borderId="0" xfId="0" applyNumberFormat="1" applyFont="1" applyBorder="1" applyAlignment="1">
      <alignment/>
    </xf>
    <xf numFmtId="38" fontId="12" fillId="0" borderId="0" xfId="0" applyNumberFormat="1" applyFont="1" applyAlignment="1">
      <alignment/>
    </xf>
    <xf numFmtId="5" fontId="12" fillId="0" borderId="0" xfId="0" applyNumberFormat="1" applyFont="1" applyBorder="1" applyAlignment="1">
      <alignment/>
    </xf>
    <xf numFmtId="0" fontId="5" fillId="0" borderId="0" xfId="0" applyFont="1" applyAlignment="1">
      <alignment horizontal="centerContinuous"/>
    </xf>
    <xf numFmtId="0" fontId="4" fillId="0" borderId="0" xfId="0" applyFont="1" applyAlignment="1">
      <alignment/>
    </xf>
    <xf numFmtId="0" fontId="4" fillId="0" borderId="0" xfId="0" applyFont="1" applyFill="1" applyBorder="1" applyAlignment="1">
      <alignment horizontal="centerContinuous"/>
    </xf>
    <xf numFmtId="0" fontId="17" fillId="0" borderId="0" xfId="0" applyFont="1" applyFill="1" applyBorder="1" applyAlignment="1">
      <alignment/>
    </xf>
    <xf numFmtId="0" fontId="5" fillId="0" borderId="0" xfId="0" applyFont="1" applyFill="1" applyBorder="1" applyAlignment="1">
      <alignment/>
    </xf>
    <xf numFmtId="0" fontId="6" fillId="0" borderId="0" xfId="0" applyFont="1" applyBorder="1" applyAlignment="1">
      <alignment/>
    </xf>
    <xf numFmtId="0" fontId="9" fillId="0" borderId="1" xfId="0" applyFont="1" applyBorder="1" applyAlignment="1">
      <alignment horizontal="center" wrapText="1"/>
    </xf>
    <xf numFmtId="0" fontId="12" fillId="0" borderId="1" xfId="0" applyFont="1" applyBorder="1" applyAlignment="1">
      <alignment horizontal="left" wrapText="1"/>
    </xf>
    <xf numFmtId="0" fontId="12" fillId="0" borderId="0" xfId="0" applyFont="1" applyBorder="1" applyAlignment="1">
      <alignment horizontal="right"/>
    </xf>
    <xf numFmtId="0" fontId="12" fillId="0" borderId="0" xfId="0" applyFont="1" applyBorder="1" applyAlignment="1">
      <alignment horizontal="left" wrapText="1"/>
    </xf>
    <xf numFmtId="0" fontId="5" fillId="0" borderId="0" xfId="0" applyFont="1" applyBorder="1" applyAlignment="1">
      <alignment wrapText="1"/>
    </xf>
    <xf numFmtId="0" fontId="7" fillId="0" borderId="0" xfId="0" applyFont="1" applyBorder="1" applyAlignment="1">
      <alignment/>
    </xf>
    <xf numFmtId="0" fontId="9" fillId="0" borderId="0" xfId="0" applyFont="1" applyAlignment="1">
      <alignment/>
    </xf>
    <xf numFmtId="0" fontId="12" fillId="0" borderId="0" xfId="0" applyFont="1" applyAlignment="1">
      <alignment horizontal="right"/>
    </xf>
    <xf numFmtId="5" fontId="12" fillId="0" borderId="0" xfId="0" applyNumberFormat="1" applyFont="1" applyAlignment="1">
      <alignment horizontal="right"/>
    </xf>
    <xf numFmtId="0" fontId="16" fillId="0" borderId="0" xfId="0" applyFont="1" applyAlignment="1">
      <alignment/>
    </xf>
    <xf numFmtId="0" fontId="9" fillId="0" borderId="0" xfId="0" applyFont="1" applyFill="1" applyAlignment="1">
      <alignment horizontal="left" wrapText="1"/>
    </xf>
    <xf numFmtId="0" fontId="9" fillId="0" borderId="0" xfId="0" applyFont="1" applyFill="1" applyAlignment="1">
      <alignment horizontal="center" wrapText="1"/>
    </xf>
    <xf numFmtId="6" fontId="12" fillId="0" borderId="0" xfId="0" applyNumberFormat="1" applyFont="1" applyFill="1" applyAlignment="1">
      <alignment/>
    </xf>
    <xf numFmtId="0" fontId="9" fillId="0" borderId="0" xfId="0" applyFont="1" applyAlignment="1">
      <alignment horizontal="left" wrapText="1"/>
    </xf>
    <xf numFmtId="38" fontId="12" fillId="0" borderId="0" xfId="0" applyNumberFormat="1" applyFont="1" applyFill="1" applyAlignment="1">
      <alignment/>
    </xf>
    <xf numFmtId="38" fontId="9" fillId="0" borderId="0" xfId="0" applyNumberFormat="1" applyFont="1" applyFill="1" applyAlignment="1">
      <alignment horizontal="center"/>
    </xf>
    <xf numFmtId="38" fontId="21" fillId="0" borderId="0" xfId="0" applyNumberFormat="1" applyFont="1" applyFill="1" applyAlignment="1">
      <alignment horizontal="right"/>
    </xf>
    <xf numFmtId="38" fontId="9" fillId="0" borderId="0" xfId="0" applyNumberFormat="1" applyFont="1" applyFill="1" applyAlignment="1">
      <alignment horizontal="center" wrapText="1"/>
    </xf>
    <xf numFmtId="38" fontId="12" fillId="0" borderId="0" xfId="0" applyNumberFormat="1" applyFont="1" applyFill="1" applyBorder="1" applyAlignment="1">
      <alignment horizontal="left"/>
    </xf>
    <xf numFmtId="0" fontId="9" fillId="0" borderId="0" xfId="0" applyFont="1" applyFill="1" applyAlignment="1">
      <alignment horizontal="center"/>
    </xf>
    <xf numFmtId="0" fontId="4" fillId="2" borderId="0" xfId="0" applyFont="1" applyFill="1" applyBorder="1" applyAlignment="1" applyProtection="1">
      <alignment horizontal="centerContinuous"/>
      <protection locked="0"/>
    </xf>
    <xf numFmtId="0" fontId="17" fillId="0" borderId="0" xfId="0" applyFont="1" applyBorder="1" applyAlignment="1">
      <alignment/>
    </xf>
    <xf numFmtId="0" fontId="9" fillId="2" borderId="0" xfId="0" applyFont="1" applyFill="1" applyBorder="1" applyAlignment="1" applyProtection="1">
      <alignment/>
      <protection locked="0"/>
    </xf>
    <xf numFmtId="0" fontId="9" fillId="2" borderId="0" xfId="0" applyFont="1" applyFill="1" applyBorder="1" applyAlignment="1" applyProtection="1">
      <alignment horizontal="left"/>
      <protection locked="0"/>
    </xf>
    <xf numFmtId="0" fontId="12" fillId="2" borderId="0" xfId="0" applyFont="1" applyFill="1" applyBorder="1" applyAlignment="1" applyProtection="1">
      <alignment/>
      <protection locked="0"/>
    </xf>
    <xf numFmtId="41" fontId="12" fillId="2" borderId="0" xfId="0" applyNumberFormat="1" applyFont="1" applyFill="1" applyBorder="1" applyAlignment="1" applyProtection="1">
      <alignment/>
      <protection locked="0"/>
    </xf>
    <xf numFmtId="0" fontId="9" fillId="2" borderId="0" xfId="0" applyFont="1" applyFill="1" applyBorder="1" applyAlignment="1" applyProtection="1">
      <alignment horizontal="center"/>
      <protection locked="0"/>
    </xf>
    <xf numFmtId="8" fontId="12" fillId="0" borderId="0" xfId="0" applyNumberFormat="1" applyFont="1" applyBorder="1" applyAlignment="1">
      <alignment/>
    </xf>
    <xf numFmtId="6" fontId="9" fillId="0" borderId="0" xfId="0" applyNumberFormat="1" applyFont="1" applyBorder="1" applyAlignment="1">
      <alignment horizontal="right"/>
    </xf>
    <xf numFmtId="0" fontId="9" fillId="2" borderId="0" xfId="0" applyFont="1" applyFill="1" applyBorder="1" applyAlignment="1" applyProtection="1">
      <alignment horizontal="left" wrapText="1"/>
      <protection locked="0"/>
    </xf>
    <xf numFmtId="38" fontId="12" fillId="0" borderId="0" xfId="0" applyNumberFormat="1" applyFont="1" applyBorder="1" applyAlignment="1">
      <alignment horizontal="right"/>
    </xf>
    <xf numFmtId="0" fontId="9" fillId="0" borderId="0" xfId="0" applyFont="1" applyBorder="1" applyAlignment="1">
      <alignment horizontal="center" wrapText="1"/>
    </xf>
    <xf numFmtId="38" fontId="9" fillId="0" borderId="0" xfId="0" applyNumberFormat="1" applyFont="1" applyAlignment="1">
      <alignment/>
    </xf>
    <xf numFmtId="5" fontId="12" fillId="0" borderId="0" xfId="0" applyNumberFormat="1" applyFont="1" applyBorder="1" applyAlignment="1">
      <alignment horizontal="right"/>
    </xf>
    <xf numFmtId="164" fontId="12" fillId="0" borderId="0" xfId="0" applyNumberFormat="1" applyFont="1" applyBorder="1" applyAlignment="1">
      <alignment/>
    </xf>
    <xf numFmtId="0" fontId="23" fillId="0" borderId="0" xfId="0" applyFont="1" applyBorder="1" applyAlignment="1">
      <alignment horizontal="left" wrapText="1"/>
    </xf>
    <xf numFmtId="0" fontId="9" fillId="0" borderId="0" xfId="0" applyFont="1" applyBorder="1" applyAlignment="1">
      <alignment/>
    </xf>
    <xf numFmtId="164" fontId="12" fillId="0" borderId="0" xfId="15" applyNumberFormat="1" applyFont="1" applyBorder="1" applyAlignment="1">
      <alignment horizontal="right"/>
    </xf>
    <xf numFmtId="164" fontId="12" fillId="0" borderId="0" xfId="15" applyNumberFormat="1" applyFont="1" applyFill="1" applyAlignment="1">
      <alignment horizontal="right"/>
    </xf>
    <xf numFmtId="164" fontId="12" fillId="0" borderId="0" xfId="15" applyNumberFormat="1" applyFont="1" applyBorder="1" applyAlignment="1">
      <alignment/>
    </xf>
    <xf numFmtId="164" fontId="9" fillId="0" borderId="2" xfId="15" applyNumberFormat="1" applyFont="1" applyBorder="1" applyAlignment="1">
      <alignment horizontal="right"/>
    </xf>
    <xf numFmtId="164" fontId="9" fillId="0" borderId="3" xfId="15" applyNumberFormat="1" applyFont="1" applyBorder="1" applyAlignment="1">
      <alignment horizontal="right"/>
    </xf>
    <xf numFmtId="38" fontId="9" fillId="0" borderId="0" xfId="0" applyNumberFormat="1" applyFont="1" applyAlignment="1">
      <alignment horizontal="center"/>
    </xf>
    <xf numFmtId="6" fontId="9" fillId="0" borderId="0" xfId="0" applyNumberFormat="1" applyFont="1" applyAlignment="1">
      <alignment/>
    </xf>
    <xf numFmtId="10" fontId="9" fillId="0" borderId="0" xfId="21" applyNumberFormat="1" applyFont="1" applyAlignment="1">
      <alignment horizontal="right"/>
    </xf>
    <xf numFmtId="10" fontId="9" fillId="0" borderId="0" xfId="0" applyNumberFormat="1" applyFont="1" applyAlignment="1">
      <alignment horizontal="centerContinuous"/>
    </xf>
    <xf numFmtId="10" fontId="9" fillId="0" borderId="0" xfId="0" applyNumberFormat="1" applyFont="1" applyAlignment="1">
      <alignment/>
    </xf>
    <xf numFmtId="0" fontId="27" fillId="0" borderId="0" xfId="0" applyFont="1" applyAlignment="1">
      <alignment/>
    </xf>
    <xf numFmtId="0" fontId="21" fillId="0" borderId="0" xfId="0" applyFont="1" applyBorder="1" applyAlignment="1">
      <alignment/>
    </xf>
    <xf numFmtId="164" fontId="12" fillId="0" borderId="2" xfId="15" applyNumberFormat="1" applyFont="1" applyFill="1" applyBorder="1" applyAlignment="1">
      <alignment horizontal="right"/>
    </xf>
    <xf numFmtId="0" fontId="8" fillId="0" borderId="0" xfId="0" applyFont="1" applyBorder="1" applyAlignment="1">
      <alignment horizontal="center"/>
    </xf>
    <xf numFmtId="0" fontId="12" fillId="0" borderId="0" xfId="0" applyFont="1" applyAlignment="1">
      <alignment horizontal="centerContinuous"/>
    </xf>
    <xf numFmtId="0" fontId="9" fillId="0" borderId="0" xfId="0" applyFont="1" applyAlignment="1">
      <alignment horizontal="centerContinuous"/>
    </xf>
    <xf numFmtId="164" fontId="12" fillId="0" borderId="0" xfId="15" applyNumberFormat="1" applyFont="1" applyFill="1" applyBorder="1" applyAlignment="1">
      <alignment horizontal="right"/>
    </xf>
    <xf numFmtId="164" fontId="12" fillId="0" borderId="4" xfId="15" applyNumberFormat="1" applyFont="1" applyBorder="1" applyAlignment="1">
      <alignment/>
    </xf>
    <xf numFmtId="164" fontId="6" fillId="0" borderId="0" xfId="15" applyNumberFormat="1" applyFont="1" applyAlignment="1">
      <alignment/>
    </xf>
    <xf numFmtId="164" fontId="9" fillId="2" borderId="0" xfId="15" applyNumberFormat="1" applyFont="1" applyFill="1" applyBorder="1" applyAlignment="1" applyProtection="1">
      <alignment horizontal="left"/>
      <protection locked="0"/>
    </xf>
    <xf numFmtId="0" fontId="9" fillId="0" borderId="5" xfId="0" applyFont="1" applyBorder="1" applyAlignment="1">
      <alignment horizontal="left" wrapText="1"/>
    </xf>
    <xf numFmtId="0" fontId="12" fillId="0" borderId="6" xfId="0" applyFont="1" applyBorder="1" applyAlignment="1">
      <alignment horizontal="center" wrapText="1"/>
    </xf>
    <xf numFmtId="0" fontId="9" fillId="0" borderId="5" xfId="0" applyFont="1" applyBorder="1" applyAlignment="1">
      <alignment horizontal="center" wrapText="1"/>
    </xf>
    <xf numFmtId="0" fontId="12" fillId="0" borderId="5" xfId="0" applyFont="1" applyBorder="1" applyAlignment="1">
      <alignment horizontal="left" wrapText="1"/>
    </xf>
    <xf numFmtId="0" fontId="9" fillId="0" borderId="7" xfId="0" applyFont="1" applyBorder="1" applyAlignment="1">
      <alignment horizontal="left" wrapText="1"/>
    </xf>
    <xf numFmtId="164" fontId="21" fillId="0" borderId="0" xfId="15" applyNumberFormat="1" applyFont="1" applyBorder="1" applyAlignment="1">
      <alignment/>
    </xf>
    <xf numFmtId="0" fontId="30" fillId="0" borderId="0" xfId="0" applyFont="1" applyFill="1" applyBorder="1" applyAlignment="1">
      <alignment/>
    </xf>
    <xf numFmtId="44" fontId="7" fillId="0" borderId="0" xfId="17" applyFont="1" applyAlignment="1">
      <alignment horizontal="centerContinuous"/>
    </xf>
    <xf numFmtId="44" fontId="6" fillId="0" borderId="0" xfId="17" applyFont="1" applyAlignment="1">
      <alignment horizontal="centerContinuous"/>
    </xf>
    <xf numFmtId="1" fontId="8" fillId="0" borderId="8" xfId="0" applyNumberFormat="1" applyFont="1" applyBorder="1" applyAlignment="1" quotePrefix="1">
      <alignment horizontal="center"/>
    </xf>
    <xf numFmtId="10" fontId="9" fillId="0" borderId="0" xfId="0" applyNumberFormat="1" applyFont="1" applyAlignment="1">
      <alignment horizontal="right"/>
    </xf>
    <xf numFmtId="40" fontId="9" fillId="0" borderId="0" xfId="0" applyNumberFormat="1" applyFont="1" applyAlignment="1">
      <alignment/>
    </xf>
    <xf numFmtId="0" fontId="8" fillId="0" borderId="8" xfId="0" applyFont="1" applyBorder="1" applyAlignment="1">
      <alignment horizontal="centerContinuous"/>
    </xf>
    <xf numFmtId="43" fontId="12" fillId="0" borderId="0" xfId="0" applyNumberFormat="1" applyFont="1" applyBorder="1" applyAlignment="1">
      <alignment horizontal="right"/>
    </xf>
    <xf numFmtId="165" fontId="9" fillId="0" borderId="0" xfId="0" applyNumberFormat="1" applyFont="1" applyBorder="1" applyAlignment="1">
      <alignment horizontal="right"/>
    </xf>
    <xf numFmtId="0" fontId="21" fillId="0" borderId="0" xfId="0" applyFont="1" applyBorder="1" applyAlignment="1" quotePrefix="1">
      <alignment/>
    </xf>
    <xf numFmtId="39" fontId="21" fillId="0" borderId="0" xfId="0" applyNumberFormat="1" applyFont="1" applyAlignment="1">
      <alignment horizontal="right"/>
    </xf>
    <xf numFmtId="0" fontId="4" fillId="0" borderId="5" xfId="0" applyFont="1" applyBorder="1" applyAlignment="1">
      <alignment horizontal="centerContinuous"/>
    </xf>
    <xf numFmtId="0" fontId="12" fillId="0" borderId="5" xfId="0" applyFont="1" applyBorder="1" applyAlignment="1" quotePrefix="1">
      <alignment wrapText="1"/>
    </xf>
    <xf numFmtId="0" fontId="12" fillId="0" borderId="5" xfId="0" applyFont="1" applyBorder="1" applyAlignment="1">
      <alignment horizontal="center" wrapText="1"/>
    </xf>
    <xf numFmtId="164" fontId="5" fillId="0" borderId="0" xfId="0" applyNumberFormat="1" applyFont="1" applyFill="1" applyBorder="1" applyAlignment="1">
      <alignment/>
    </xf>
    <xf numFmtId="164" fontId="12" fillId="0" borderId="0" xfId="15" applyNumberFormat="1" applyFont="1" applyAlignment="1">
      <alignment/>
    </xf>
    <xf numFmtId="0" fontId="30" fillId="0" borderId="0" xfId="0" applyFont="1" applyFill="1" applyAlignment="1">
      <alignment horizontal="centerContinuous"/>
    </xf>
    <xf numFmtId="0" fontId="32" fillId="0" borderId="0" xfId="0" applyFont="1" applyAlignment="1">
      <alignment/>
    </xf>
    <xf numFmtId="0" fontId="32" fillId="0" borderId="0" xfId="0" applyFont="1" applyBorder="1" applyAlignment="1">
      <alignment/>
    </xf>
    <xf numFmtId="0" fontId="30" fillId="0" borderId="0" xfId="0" applyFont="1" applyBorder="1" applyAlignment="1">
      <alignment horizontal="centerContinuous"/>
    </xf>
    <xf numFmtId="0" fontId="33" fillId="2" borderId="0" xfId="0" applyFont="1" applyFill="1" applyBorder="1" applyAlignment="1" applyProtection="1">
      <alignment horizontal="centerContinuous"/>
      <protection locked="0"/>
    </xf>
    <xf numFmtId="0" fontId="34" fillId="0" borderId="0" xfId="0" applyFont="1" applyBorder="1" applyAlignment="1">
      <alignment/>
    </xf>
    <xf numFmtId="0" fontId="31" fillId="0" borderId="0" xfId="0" applyFont="1" applyBorder="1" applyAlignment="1">
      <alignment/>
    </xf>
    <xf numFmtId="38" fontId="20" fillId="0" borderId="0" xfId="0" applyNumberFormat="1" applyFont="1" applyBorder="1" applyAlignment="1">
      <alignment/>
    </xf>
    <xf numFmtId="0" fontId="9" fillId="0" borderId="0" xfId="0" applyNumberFormat="1" applyFont="1" applyAlignment="1">
      <alignment horizontal="right" wrapText="1"/>
    </xf>
    <xf numFmtId="38" fontId="21" fillId="0" borderId="0" xfId="0" applyNumberFormat="1" applyFont="1" applyFill="1" applyAlignment="1">
      <alignment/>
    </xf>
    <xf numFmtId="0" fontId="21" fillId="2" borderId="0" xfId="0" applyFont="1" applyFill="1" applyBorder="1" applyAlignment="1" applyProtection="1">
      <alignment/>
      <protection locked="0"/>
    </xf>
    <xf numFmtId="38" fontId="21" fillId="0" borderId="0" xfId="0" applyNumberFormat="1" applyFont="1" applyBorder="1" applyAlignment="1">
      <alignment/>
    </xf>
    <xf numFmtId="38" fontId="21" fillId="0" borderId="0" xfId="0" applyNumberFormat="1" applyFont="1" applyBorder="1" applyAlignment="1">
      <alignment horizontal="right"/>
    </xf>
    <xf numFmtId="164" fontId="30" fillId="0" borderId="0" xfId="15" applyNumberFormat="1" applyFont="1" applyFill="1" applyAlignment="1">
      <alignment horizontal="centerContinuous"/>
    </xf>
    <xf numFmtId="164" fontId="5" fillId="0" borderId="0" xfId="15" applyNumberFormat="1" applyFont="1" applyAlignment="1">
      <alignment horizontal="centerContinuous"/>
    </xf>
    <xf numFmtId="164" fontId="12" fillId="0" borderId="0" xfId="15" applyNumberFormat="1" applyFont="1" applyAlignment="1">
      <alignment horizontal="centerContinuous"/>
    </xf>
    <xf numFmtId="164" fontId="9" fillId="0" borderId="0" xfId="15" applyNumberFormat="1" applyFont="1" applyFill="1" applyAlignment="1">
      <alignment horizontal="centerContinuous"/>
    </xf>
    <xf numFmtId="164" fontId="13" fillId="3" borderId="0" xfId="15" applyNumberFormat="1" applyFont="1" applyFill="1" applyAlignment="1">
      <alignment horizontal="centerContinuous" wrapText="1"/>
    </xf>
    <xf numFmtId="164" fontId="12" fillId="0" borderId="0" xfId="15" applyNumberFormat="1" applyFont="1" applyFill="1" applyAlignment="1">
      <alignment/>
    </xf>
    <xf numFmtId="164" fontId="21" fillId="0" borderId="0" xfId="15" applyNumberFormat="1" applyFont="1" applyFill="1" applyAlignment="1">
      <alignment horizontal="right"/>
    </xf>
    <xf numFmtId="164" fontId="9" fillId="0" borderId="0" xfId="15" applyNumberFormat="1" applyFont="1" applyFill="1" applyAlignment="1">
      <alignment horizontal="left" indent="1"/>
    </xf>
    <xf numFmtId="164" fontId="6" fillId="0" borderId="0" xfId="15" applyNumberFormat="1" applyFont="1" applyAlignment="1">
      <alignment horizontal="left" indent="1"/>
    </xf>
    <xf numFmtId="164" fontId="12" fillId="2" borderId="0" xfId="15" applyNumberFormat="1" applyFont="1" applyFill="1" applyBorder="1" applyAlignment="1" applyProtection="1">
      <alignment horizontal="left" indent="1"/>
      <protection locked="0"/>
    </xf>
    <xf numFmtId="164" fontId="12" fillId="0" borderId="0" xfId="15" applyNumberFormat="1" applyFont="1" applyFill="1" applyAlignment="1">
      <alignment horizontal="left" indent="1"/>
    </xf>
    <xf numFmtId="164" fontId="12" fillId="0" borderId="0" xfId="15" applyNumberFormat="1" applyFont="1" applyAlignment="1">
      <alignment horizontal="left" indent="1"/>
    </xf>
    <xf numFmtId="164" fontId="12" fillId="0" borderId="4" xfId="15" applyNumberFormat="1" applyFont="1" applyBorder="1" applyAlignment="1">
      <alignment horizontal="left" indent="1"/>
    </xf>
    <xf numFmtId="164" fontId="12" fillId="0" borderId="2" xfId="15" applyNumberFormat="1" applyFont="1" applyBorder="1" applyAlignment="1">
      <alignment horizontal="left" indent="1"/>
    </xf>
    <xf numFmtId="164" fontId="9" fillId="0" borderId="0" xfId="15" applyNumberFormat="1" applyFont="1" applyAlignment="1">
      <alignment horizontal="left" indent="1"/>
    </xf>
    <xf numFmtId="164" fontId="21" fillId="0" borderId="0" xfId="15" applyNumberFormat="1" applyFont="1" applyFill="1" applyAlignment="1">
      <alignment horizontal="left" indent="1"/>
    </xf>
    <xf numFmtId="164" fontId="12" fillId="0" borderId="2" xfId="15" applyNumberFormat="1" applyFont="1" applyFill="1" applyBorder="1" applyAlignment="1">
      <alignment horizontal="left" indent="1"/>
    </xf>
    <xf numFmtId="164" fontId="12" fillId="0" borderId="0" xfId="15" applyNumberFormat="1" applyFont="1" applyFill="1" applyBorder="1" applyAlignment="1">
      <alignment horizontal="left" indent="1"/>
    </xf>
    <xf numFmtId="164" fontId="9" fillId="0" borderId="0" xfId="15" applyNumberFormat="1" applyFont="1" applyBorder="1" applyAlignment="1">
      <alignment horizontal="left" indent="1"/>
    </xf>
    <xf numFmtId="164" fontId="14" fillId="0" borderId="0" xfId="15" applyNumberFormat="1" applyFont="1" applyBorder="1" applyAlignment="1">
      <alignment horizontal="left" vertical="center" indent="1"/>
    </xf>
    <xf numFmtId="164" fontId="22" fillId="0" borderId="0" xfId="15" applyNumberFormat="1" applyFont="1" applyBorder="1" applyAlignment="1">
      <alignment horizontal="left" indent="1"/>
    </xf>
    <xf numFmtId="164" fontId="12" fillId="0" borderId="0" xfId="15" applyNumberFormat="1" applyFont="1" applyBorder="1" applyAlignment="1">
      <alignment horizontal="left" vertical="center" indent="1"/>
    </xf>
    <xf numFmtId="164" fontId="12" fillId="0" borderId="0" xfId="15" applyNumberFormat="1" applyFont="1" applyBorder="1" applyAlignment="1">
      <alignment horizontal="left" indent="1"/>
    </xf>
    <xf numFmtId="164" fontId="13" fillId="3" borderId="0" xfId="15" applyNumberFormat="1" applyFont="1" applyFill="1" applyAlignment="1">
      <alignment horizontal="center" wrapText="1"/>
    </xf>
    <xf numFmtId="164" fontId="13" fillId="4" borderId="0" xfId="15" applyNumberFormat="1" applyFont="1" applyFill="1" applyBorder="1" applyAlignment="1" applyProtection="1">
      <alignment horizontal="center" wrapText="1"/>
      <protection locked="0"/>
    </xf>
    <xf numFmtId="164" fontId="33" fillId="2" borderId="0" xfId="15" applyNumberFormat="1" applyFont="1" applyFill="1" applyBorder="1" applyAlignment="1" applyProtection="1">
      <alignment horizontal="centerContinuous"/>
      <protection locked="0"/>
    </xf>
    <xf numFmtId="164" fontId="34" fillId="0" borderId="0" xfId="15" applyNumberFormat="1" applyFont="1" applyAlignment="1">
      <alignment horizontal="centerContinuous"/>
    </xf>
    <xf numFmtId="164" fontId="4" fillId="0" borderId="0" xfId="15" applyNumberFormat="1" applyFont="1" applyFill="1" applyAlignment="1">
      <alignment horizontal="centerContinuous"/>
    </xf>
    <xf numFmtId="164" fontId="4" fillId="2" borderId="0" xfId="15" applyNumberFormat="1" applyFont="1" applyFill="1" applyBorder="1" applyAlignment="1" applyProtection="1">
      <alignment horizontal="centerContinuous"/>
      <protection locked="0"/>
    </xf>
    <xf numFmtId="164" fontId="11" fillId="2" borderId="0" xfId="15" applyNumberFormat="1" applyFont="1" applyFill="1" applyBorder="1" applyAlignment="1" applyProtection="1">
      <alignment horizontal="centerContinuous"/>
      <protection locked="0"/>
    </xf>
    <xf numFmtId="164" fontId="11" fillId="2" borderId="0" xfId="15" applyNumberFormat="1" applyFont="1" applyFill="1" applyBorder="1" applyAlignment="1" applyProtection="1">
      <alignment horizontal="centerContinuous" wrapText="1"/>
      <protection locked="0"/>
    </xf>
    <xf numFmtId="164" fontId="12" fillId="2" borderId="0" xfId="15" applyNumberFormat="1" applyFont="1" applyFill="1" applyBorder="1" applyAlignment="1" applyProtection="1">
      <alignment/>
      <protection locked="0"/>
    </xf>
    <xf numFmtId="164" fontId="12" fillId="0" borderId="0" xfId="15" applyNumberFormat="1" applyFont="1" applyAlignment="1">
      <alignment horizontal="right"/>
    </xf>
    <xf numFmtId="164" fontId="12" fillId="0" borderId="2" xfId="15" applyNumberFormat="1" applyFont="1" applyBorder="1" applyAlignment="1">
      <alignment horizontal="right"/>
    </xf>
    <xf numFmtId="164" fontId="9" fillId="2" borderId="0" xfId="15" applyNumberFormat="1" applyFont="1" applyFill="1" applyBorder="1" applyAlignment="1" applyProtection="1">
      <alignment horizontal="center"/>
      <protection locked="0"/>
    </xf>
    <xf numFmtId="164" fontId="9" fillId="0" borderId="0" xfId="15" applyNumberFormat="1" applyFont="1" applyBorder="1" applyAlignment="1">
      <alignment horizontal="right"/>
    </xf>
    <xf numFmtId="164" fontId="12" fillId="0" borderId="0" xfId="15" applyNumberFormat="1" applyFont="1" applyBorder="1" applyAlignment="1">
      <alignment horizontal="centerContinuous"/>
    </xf>
    <xf numFmtId="43" fontId="12" fillId="0" borderId="0" xfId="0" applyNumberFormat="1" applyFont="1" applyBorder="1" applyAlignment="1">
      <alignment/>
    </xf>
    <xf numFmtId="164" fontId="12" fillId="0" borderId="9" xfId="15" applyNumberFormat="1" applyFont="1" applyFill="1" applyBorder="1" applyAlignment="1">
      <alignment/>
    </xf>
    <xf numFmtId="164" fontId="12" fillId="0" borderId="9" xfId="15" applyNumberFormat="1" applyFont="1" applyFill="1" applyBorder="1" applyAlignment="1">
      <alignment horizontal="left"/>
    </xf>
    <xf numFmtId="164" fontId="12" fillId="0" borderId="1" xfId="15" applyNumberFormat="1" applyFont="1" applyFill="1" applyBorder="1" applyAlignment="1">
      <alignment horizontal="left"/>
    </xf>
    <xf numFmtId="164" fontId="26" fillId="0" borderId="1" xfId="15" applyNumberFormat="1" applyFont="1" applyFill="1" applyBorder="1" applyAlignment="1">
      <alignment horizontal="left"/>
    </xf>
    <xf numFmtId="164" fontId="25" fillId="0" borderId="1" xfId="15" applyNumberFormat="1" applyFont="1" applyFill="1" applyBorder="1" applyAlignment="1">
      <alignment horizontal="left"/>
    </xf>
    <xf numFmtId="164" fontId="12" fillId="0" borderId="0" xfId="15" applyNumberFormat="1" applyFont="1" applyFill="1" applyAlignment="1">
      <alignment horizontal="left"/>
    </xf>
    <xf numFmtId="164" fontId="9" fillId="0" borderId="0" xfId="15" applyNumberFormat="1" applyFont="1" applyFill="1" applyAlignment="1">
      <alignment horizontal="left"/>
    </xf>
    <xf numFmtId="164" fontId="9" fillId="0" borderId="0" xfId="15" applyNumberFormat="1" applyFont="1" applyAlignment="1">
      <alignment/>
    </xf>
    <xf numFmtId="164" fontId="12" fillId="0" borderId="4" xfId="15" applyNumberFormat="1" applyFont="1" applyFill="1" applyBorder="1" applyAlignment="1">
      <alignment horizontal="right"/>
    </xf>
    <xf numFmtId="164" fontId="9" fillId="0" borderId="0" xfId="15" applyNumberFormat="1" applyFont="1" applyFill="1" applyBorder="1" applyAlignment="1">
      <alignment horizontal="left"/>
    </xf>
    <xf numFmtId="164" fontId="12" fillId="0" borderId="0" xfId="15" applyNumberFormat="1" applyFont="1" applyFill="1" applyBorder="1" applyAlignment="1">
      <alignment horizontal="left"/>
    </xf>
    <xf numFmtId="164" fontId="9" fillId="0" borderId="0" xfId="15" applyNumberFormat="1" applyFont="1" applyFill="1" applyBorder="1" applyAlignment="1">
      <alignment horizontal="right"/>
    </xf>
    <xf numFmtId="164" fontId="12" fillId="0" borderId="4" xfId="15" applyNumberFormat="1" applyFont="1" applyFill="1" applyBorder="1" applyAlignment="1">
      <alignment horizontal="left"/>
    </xf>
    <xf numFmtId="164" fontId="9" fillId="0" borderId="4" xfId="15" applyNumberFormat="1" applyFont="1" applyFill="1" applyBorder="1" applyAlignment="1">
      <alignment horizontal="left"/>
    </xf>
    <xf numFmtId="164" fontId="9" fillId="0" borderId="2" xfId="15" applyNumberFormat="1" applyFont="1" applyFill="1" applyBorder="1" applyAlignment="1">
      <alignment horizontal="right"/>
    </xf>
    <xf numFmtId="164" fontId="9" fillId="0" borderId="0" xfId="15" applyNumberFormat="1" applyFont="1" applyFill="1" applyAlignment="1">
      <alignment horizontal="right"/>
    </xf>
    <xf numFmtId="164" fontId="12" fillId="0" borderId="0" xfId="15" applyNumberFormat="1" applyFont="1" applyAlignment="1">
      <alignment horizontal="left"/>
    </xf>
    <xf numFmtId="164" fontId="9" fillId="3" borderId="6" xfId="15" applyNumberFormat="1" applyFont="1" applyFill="1" applyBorder="1" applyAlignment="1" quotePrefix="1">
      <alignment horizontal="centerContinuous"/>
    </xf>
    <xf numFmtId="164" fontId="9" fillId="3" borderId="7" xfId="15" applyNumberFormat="1" applyFont="1" applyFill="1" applyBorder="1" applyAlignment="1">
      <alignment horizontal="centerContinuous"/>
    </xf>
    <xf numFmtId="164" fontId="12" fillId="0" borderId="4" xfId="15" applyNumberFormat="1" applyFont="1" applyBorder="1" applyAlignment="1">
      <alignment horizontal="right"/>
    </xf>
    <xf numFmtId="164" fontId="23" fillId="0" borderId="0" xfId="15" applyNumberFormat="1" applyFont="1" applyBorder="1" applyAlignment="1">
      <alignment horizontal="right"/>
    </xf>
    <xf numFmtId="164" fontId="5" fillId="0" borderId="0" xfId="15" applyNumberFormat="1" applyFont="1" applyBorder="1" applyAlignment="1">
      <alignment/>
    </xf>
    <xf numFmtId="164" fontId="9" fillId="3" borderId="10" xfId="15" applyNumberFormat="1" applyFont="1" applyFill="1" applyBorder="1" applyAlignment="1" quotePrefix="1">
      <alignment horizontal="centerContinuous" wrapText="1"/>
    </xf>
    <xf numFmtId="164" fontId="9" fillId="3" borderId="4" xfId="15" applyNumberFormat="1" applyFont="1" applyFill="1" applyBorder="1" applyAlignment="1">
      <alignment horizontal="centerContinuous"/>
    </xf>
    <xf numFmtId="164" fontId="12" fillId="5" borderId="4" xfId="15" applyNumberFormat="1" applyFont="1" applyBorder="1" applyAlignment="1">
      <alignment horizontal="right"/>
    </xf>
    <xf numFmtId="164" fontId="12" fillId="0" borderId="11" xfId="15" applyNumberFormat="1" applyFont="1" applyBorder="1" applyAlignment="1">
      <alignment horizontal="centerContinuous"/>
    </xf>
    <xf numFmtId="164" fontId="12" fillId="3" borderId="12" xfId="15" applyNumberFormat="1" applyFont="1" applyFill="1" applyBorder="1" applyAlignment="1">
      <alignment horizontal="centerContinuous"/>
    </xf>
    <xf numFmtId="164" fontId="9" fillId="3" borderId="13" xfId="15" applyNumberFormat="1" applyFont="1" applyFill="1" applyBorder="1" applyAlignment="1">
      <alignment horizontal="centerContinuous"/>
    </xf>
    <xf numFmtId="164" fontId="12" fillId="5" borderId="11" xfId="15" applyNumberFormat="1" applyFont="1" applyBorder="1" applyAlignment="1">
      <alignment horizontal="right"/>
    </xf>
    <xf numFmtId="164" fontId="9" fillId="5" borderId="13" xfId="15" applyNumberFormat="1" applyFont="1" applyBorder="1" applyAlignment="1">
      <alignment horizontal="right"/>
    </xf>
    <xf numFmtId="164" fontId="12" fillId="5" borderId="13" xfId="15" applyNumberFormat="1" applyFont="1" applyBorder="1" applyAlignment="1">
      <alignment horizontal="right"/>
    </xf>
    <xf numFmtId="164" fontId="9" fillId="5" borderId="11" xfId="15" applyNumberFormat="1" applyFont="1" applyBorder="1" applyAlignment="1">
      <alignment horizontal="right"/>
    </xf>
    <xf numFmtId="164" fontId="12" fillId="0" borderId="11" xfId="15" applyNumberFormat="1" applyFont="1" applyBorder="1" applyAlignment="1">
      <alignment horizontal="right"/>
    </xf>
    <xf numFmtId="164" fontId="24" fillId="0" borderId="0" xfId="15" applyNumberFormat="1" applyFont="1" applyBorder="1" applyAlignment="1">
      <alignment horizontal="right"/>
    </xf>
    <xf numFmtId="164" fontId="5" fillId="0" borderId="0" xfId="15" applyNumberFormat="1" applyFont="1" applyBorder="1" applyAlignment="1">
      <alignment horizontal="centerContinuous"/>
    </xf>
    <xf numFmtId="164" fontId="12" fillId="0" borderId="0" xfId="15" applyNumberFormat="1" applyFont="1" applyBorder="1" applyAlignment="1">
      <alignment horizontal="left"/>
    </xf>
    <xf numFmtId="164" fontId="9" fillId="3" borderId="0" xfId="15" applyNumberFormat="1" applyFont="1" applyFill="1" applyBorder="1" applyAlignment="1">
      <alignment horizontal="centerContinuous"/>
    </xf>
    <xf numFmtId="164" fontId="14" fillId="0" borderId="0" xfId="15" applyNumberFormat="1" applyFont="1" applyBorder="1" applyAlignment="1">
      <alignment/>
    </xf>
    <xf numFmtId="164" fontId="14" fillId="0" borderId="11" xfId="15" applyNumberFormat="1" applyFont="1" applyBorder="1" applyAlignment="1">
      <alignment/>
    </xf>
    <xf numFmtId="164" fontId="12" fillId="0" borderId="11" xfId="15" applyNumberFormat="1" applyFont="1" applyBorder="1" applyAlignment="1">
      <alignment/>
    </xf>
    <xf numFmtId="164" fontId="12" fillId="0" borderId="13" xfId="15" applyNumberFormat="1" applyFont="1" applyBorder="1" applyAlignment="1">
      <alignment/>
    </xf>
    <xf numFmtId="164" fontId="12" fillId="0" borderId="14" xfId="15" applyNumberFormat="1" applyFont="1" applyBorder="1" applyAlignment="1">
      <alignment/>
    </xf>
    <xf numFmtId="38" fontId="12" fillId="0" borderId="0" xfId="0" applyNumberFormat="1" applyFont="1" applyAlignment="1">
      <alignment horizontal="left"/>
    </xf>
    <xf numFmtId="5" fontId="9" fillId="0" borderId="3" xfId="15" applyNumberFormat="1" applyFont="1" applyBorder="1" applyAlignment="1">
      <alignment horizontal="right"/>
    </xf>
    <xf numFmtId="5" fontId="9" fillId="0" borderId="3" xfId="15" applyNumberFormat="1" applyFont="1" applyFill="1" applyBorder="1" applyAlignment="1">
      <alignment horizontal="right"/>
    </xf>
    <xf numFmtId="164" fontId="19" fillId="0" borderId="0" xfId="15" applyNumberFormat="1" applyFont="1" applyAlignment="1">
      <alignment/>
    </xf>
    <xf numFmtId="164" fontId="9" fillId="0" borderId="6" xfId="15" applyNumberFormat="1" applyFont="1" applyBorder="1" applyAlignment="1">
      <alignment horizontal="centerContinuous"/>
    </xf>
    <xf numFmtId="164" fontId="12" fillId="0" borderId="5" xfId="15" applyNumberFormat="1" applyFont="1" applyBorder="1" applyAlignment="1">
      <alignment horizontal="right"/>
    </xf>
    <xf numFmtId="164" fontId="12" fillId="0" borderId="7" xfId="15" applyNumberFormat="1" applyFont="1" applyBorder="1" applyAlignment="1">
      <alignment horizontal="right"/>
    </xf>
    <xf numFmtId="164" fontId="18" fillId="0" borderId="5" xfId="15" applyNumberFormat="1" applyFont="1" applyBorder="1" applyAlignment="1">
      <alignment horizontal="right"/>
    </xf>
    <xf numFmtId="164" fontId="9" fillId="0" borderId="10" xfId="15" applyNumberFormat="1" applyFont="1" applyBorder="1" applyAlignment="1">
      <alignment horizontal="centerContinuous"/>
    </xf>
    <xf numFmtId="164" fontId="9" fillId="0" borderId="12" xfId="15" applyNumberFormat="1" applyFont="1" applyBorder="1" applyAlignment="1">
      <alignment horizontal="centerContinuous"/>
    </xf>
    <xf numFmtId="164" fontId="12" fillId="0" borderId="13" xfId="15" applyNumberFormat="1" applyFont="1" applyBorder="1" applyAlignment="1">
      <alignment horizontal="right"/>
    </xf>
    <xf numFmtId="164" fontId="12" fillId="0" borderId="5" xfId="15" applyNumberFormat="1" applyFont="1" applyBorder="1" applyAlignment="1">
      <alignment/>
    </xf>
    <xf numFmtId="164" fontId="17" fillId="0" borderId="0" xfId="15" applyNumberFormat="1" applyFont="1" applyBorder="1" applyAlignment="1">
      <alignment horizontal="centerContinuous"/>
    </xf>
    <xf numFmtId="164" fontId="5" fillId="0" borderId="0" xfId="15" applyNumberFormat="1" applyFont="1" applyFill="1" applyBorder="1" applyAlignment="1">
      <alignment/>
    </xf>
    <xf numFmtId="164" fontId="17" fillId="0" borderId="0" xfId="15" applyNumberFormat="1" applyFont="1" applyFill="1" applyBorder="1" applyAlignment="1">
      <alignment horizontal="centerContinuous"/>
    </xf>
    <xf numFmtId="164" fontId="5" fillId="0" borderId="0" xfId="15" applyNumberFormat="1" applyFont="1" applyFill="1" applyBorder="1" applyAlignment="1">
      <alignment horizontal="right"/>
    </xf>
    <xf numFmtId="164" fontId="12" fillId="0" borderId="15" xfId="15" applyNumberFormat="1" applyFont="1" applyBorder="1" applyAlignment="1">
      <alignment/>
    </xf>
    <xf numFmtId="164" fontId="20" fillId="0" borderId="0" xfId="15" applyNumberFormat="1" applyFont="1" applyBorder="1" applyAlignment="1">
      <alignment/>
    </xf>
    <xf numFmtId="164" fontId="14" fillId="0" borderId="0" xfId="15" applyNumberFormat="1" applyFont="1" applyBorder="1" applyAlignment="1">
      <alignment horizontal="right" vertical="center"/>
    </xf>
    <xf numFmtId="164" fontId="22" fillId="0" borderId="0" xfId="15" applyNumberFormat="1" applyFont="1" applyBorder="1" applyAlignment="1">
      <alignment horizontal="right"/>
    </xf>
    <xf numFmtId="164" fontId="12" fillId="0" borderId="0" xfId="15" applyNumberFormat="1" applyFont="1" applyBorder="1" applyAlignment="1">
      <alignment horizontal="right" vertical="center"/>
    </xf>
    <xf numFmtId="43" fontId="9" fillId="0" borderId="3" xfId="15" applyFont="1" applyBorder="1" applyAlignment="1">
      <alignment horizontal="right"/>
    </xf>
    <xf numFmtId="5" fontId="12" fillId="0" borderId="0" xfId="15" applyNumberFormat="1" applyFont="1" applyBorder="1" applyAlignment="1">
      <alignment horizontal="right"/>
    </xf>
    <xf numFmtId="5" fontId="12" fillId="0" borderId="0" xfId="15" applyNumberFormat="1" applyFont="1" applyFill="1" applyAlignment="1">
      <alignment horizontal="right"/>
    </xf>
    <xf numFmtId="0" fontId="8" fillId="0" borderId="16" xfId="0" applyFont="1" applyBorder="1" applyAlignment="1">
      <alignment horizontal="center"/>
    </xf>
    <xf numFmtId="9" fontId="9" fillId="0" borderId="0" xfId="21" applyFont="1" applyAlignment="1">
      <alignment/>
    </xf>
    <xf numFmtId="10" fontId="9" fillId="0" borderId="0" xfId="21" applyNumberFormat="1" applyFont="1" applyAlignment="1">
      <alignment/>
    </xf>
    <xf numFmtId="0" fontId="0" fillId="0" borderId="0" xfId="0" applyAlignment="1">
      <alignment horizontal="left"/>
    </xf>
    <xf numFmtId="164" fontId="37" fillId="0" borderId="0" xfId="15" applyNumberFormat="1" applyFont="1" applyAlignment="1">
      <alignment/>
    </xf>
    <xf numFmtId="164" fontId="0" fillId="0" borderId="0" xfId="15" applyNumberFormat="1" applyAlignment="1">
      <alignment/>
    </xf>
    <xf numFmtId="164" fontId="38" fillId="0" borderId="0" xfId="15" applyNumberFormat="1" applyFont="1" applyAlignment="1">
      <alignment/>
    </xf>
    <xf numFmtId="164" fontId="39" fillId="0" borderId="0" xfId="15" applyNumberFormat="1" applyFont="1" applyAlignment="1">
      <alignment/>
    </xf>
    <xf numFmtId="164" fontId="40" fillId="0" borderId="0" xfId="15" applyNumberFormat="1" applyFont="1" applyBorder="1" applyAlignment="1">
      <alignment/>
    </xf>
    <xf numFmtId="164" fontId="41" fillId="0" borderId="0" xfId="15" applyNumberFormat="1" applyFont="1" applyAlignment="1">
      <alignment/>
    </xf>
    <xf numFmtId="164" fontId="42" fillId="0" borderId="0" xfId="15" applyNumberFormat="1" applyFont="1" applyAlignment="1">
      <alignment horizontal="center" vertical="top" wrapText="1"/>
    </xf>
    <xf numFmtId="14" fontId="42" fillId="0" borderId="0" xfId="15" applyNumberFormat="1" applyFont="1" applyAlignment="1">
      <alignment horizontal="center" vertical="top" wrapText="1"/>
    </xf>
    <xf numFmtId="14" fontId="43" fillId="0" borderId="0" xfId="15" applyNumberFormat="1" applyFont="1" applyAlignment="1">
      <alignment horizontal="center" vertical="top" wrapText="1"/>
    </xf>
    <xf numFmtId="14" fontId="44" fillId="0" borderId="0" xfId="15" applyNumberFormat="1" applyFont="1" applyAlignment="1">
      <alignment horizontal="center" vertical="top" wrapText="1"/>
    </xf>
    <xf numFmtId="164" fontId="42" fillId="0" borderId="0" xfId="15" applyNumberFormat="1" applyFont="1" applyBorder="1" applyAlignment="1">
      <alignment horizontal="center" vertical="top" wrapText="1"/>
    </xf>
    <xf numFmtId="164" fontId="45" fillId="0" borderId="0" xfId="15" applyNumberFormat="1" applyFont="1" applyAlignment="1">
      <alignment horizontal="center" vertical="top" wrapText="1"/>
    </xf>
    <xf numFmtId="0" fontId="42" fillId="0" borderId="0" xfId="0" applyFont="1" applyAlignment="1">
      <alignment horizontal="center" vertical="top" wrapText="1"/>
    </xf>
    <xf numFmtId="0" fontId="0" fillId="0" borderId="0" xfId="0" applyFont="1" applyAlignment="1">
      <alignment/>
    </xf>
    <xf numFmtId="164" fontId="43" fillId="0" borderId="0" xfId="15" applyNumberFormat="1" applyFont="1" applyAlignment="1">
      <alignment horizontal="center" vertical="top" wrapText="1"/>
    </xf>
    <xf numFmtId="164" fontId="44" fillId="0" borderId="0" xfId="15" applyNumberFormat="1" applyFont="1" applyAlignment="1">
      <alignment horizontal="center" vertical="top" wrapText="1"/>
    </xf>
    <xf numFmtId="164" fontId="42" fillId="0" borderId="8" xfId="15" applyNumberFormat="1" applyFont="1" applyBorder="1" applyAlignment="1">
      <alignment horizontal="center" vertical="top" wrapText="1"/>
    </xf>
    <xf numFmtId="0" fontId="40" fillId="0" borderId="0" xfId="0" applyFont="1" applyAlignment="1">
      <alignment horizontal="center"/>
    </xf>
    <xf numFmtId="164" fontId="46" fillId="0" borderId="0" xfId="15" applyNumberFormat="1" applyFont="1" applyAlignment="1">
      <alignment horizontal="center" vertical="top" wrapText="1"/>
    </xf>
    <xf numFmtId="164" fontId="42" fillId="0" borderId="17" xfId="15" applyNumberFormat="1" applyFont="1" applyBorder="1" applyAlignment="1">
      <alignment horizontal="center" vertical="top" wrapText="1"/>
    </xf>
    <xf numFmtId="164" fontId="47" fillId="0" borderId="0" xfId="15" applyNumberFormat="1" applyFont="1" applyAlignment="1">
      <alignment/>
    </xf>
    <xf numFmtId="164" fontId="40" fillId="0" borderId="18" xfId="15" applyNumberFormat="1" applyFont="1" applyBorder="1" applyAlignment="1">
      <alignment/>
    </xf>
    <xf numFmtId="164" fontId="48" fillId="0" borderId="0" xfId="15" applyNumberFormat="1" applyFont="1" applyAlignment="1">
      <alignment/>
    </xf>
    <xf numFmtId="164" fontId="49" fillId="0" borderId="0" xfId="15" applyNumberFormat="1" applyFont="1" applyAlignment="1">
      <alignment/>
    </xf>
    <xf numFmtId="164" fontId="50" fillId="0" borderId="0" xfId="15" applyNumberFormat="1" applyFont="1" applyAlignment="1">
      <alignment/>
    </xf>
    <xf numFmtId="164" fontId="40" fillId="0" borderId="19" xfId="15" applyNumberFormat="1" applyFont="1" applyBorder="1" applyAlignment="1">
      <alignment/>
    </xf>
    <xf numFmtId="44" fontId="0" fillId="0" borderId="0" xfId="17" applyAlignment="1">
      <alignment/>
    </xf>
    <xf numFmtId="164" fontId="42" fillId="0" borderId="0" xfId="15" applyNumberFormat="1" applyFont="1" applyAlignment="1">
      <alignment/>
    </xf>
    <xf numFmtId="0" fontId="40" fillId="0" borderId="0" xfId="0" applyFont="1" applyAlignment="1">
      <alignment/>
    </xf>
    <xf numFmtId="164" fontId="40" fillId="0" borderId="0" xfId="15" applyNumberFormat="1" applyFont="1" applyAlignment="1">
      <alignment/>
    </xf>
    <xf numFmtId="164" fontId="51" fillId="0" borderId="0" xfId="15" applyNumberFormat="1" applyFont="1" applyAlignment="1">
      <alignment/>
    </xf>
    <xf numFmtId="44" fontId="40" fillId="0" borderId="0" xfId="17" applyFont="1" applyAlignment="1">
      <alignment/>
    </xf>
    <xf numFmtId="164" fontId="0" fillId="0" borderId="0" xfId="15" applyNumberFormat="1" applyAlignment="1">
      <alignment horizontal="left"/>
    </xf>
    <xf numFmtId="164" fontId="0" fillId="0" borderId="0" xfId="15" applyNumberFormat="1" applyFont="1" applyAlignment="1">
      <alignment/>
    </xf>
    <xf numFmtId="0" fontId="42" fillId="0" borderId="0" xfId="0" applyFont="1" applyAlignment="1">
      <alignment horizontal="left"/>
    </xf>
    <xf numFmtId="0" fontId="48" fillId="0" borderId="0" xfId="0" applyFont="1" applyAlignment="1">
      <alignment horizontal="left"/>
    </xf>
    <xf numFmtId="0" fontId="48" fillId="0" borderId="0" xfId="0" applyFont="1" applyAlignment="1">
      <alignment/>
    </xf>
    <xf numFmtId="164" fontId="52" fillId="0" borderId="0" xfId="15" applyNumberFormat="1" applyFont="1" applyAlignment="1">
      <alignment/>
    </xf>
    <xf numFmtId="0" fontId="40" fillId="0" borderId="0" xfId="0" applyFont="1" applyAlignment="1">
      <alignment horizontal="left"/>
    </xf>
    <xf numFmtId="164" fontId="40" fillId="0" borderId="2" xfId="15" applyNumberFormat="1" applyFont="1" applyBorder="1" applyAlignment="1">
      <alignment/>
    </xf>
    <xf numFmtId="164" fontId="38" fillId="0" borderId="20" xfId="15" applyNumberFormat="1" applyFont="1" applyBorder="1" applyAlignment="1">
      <alignment/>
    </xf>
    <xf numFmtId="164" fontId="47" fillId="0" borderId="20" xfId="15" applyNumberFormat="1" applyFont="1" applyBorder="1" applyAlignment="1">
      <alignment/>
    </xf>
    <xf numFmtId="164" fontId="40" fillId="0" borderId="21" xfId="0" applyNumberFormat="1" applyFont="1" applyBorder="1" applyAlignment="1">
      <alignment/>
    </xf>
    <xf numFmtId="164" fontId="40" fillId="0" borderId="22" xfId="15" applyNumberFormat="1" applyFont="1" applyBorder="1" applyAlignment="1">
      <alignment/>
    </xf>
    <xf numFmtId="164" fontId="51" fillId="0" borderId="0" xfId="15" applyNumberFormat="1" applyFont="1" applyBorder="1" applyAlignment="1">
      <alignment/>
    </xf>
    <xf numFmtId="164" fontId="40" fillId="0" borderId="0" xfId="15" applyNumberFormat="1" applyFont="1" applyAlignment="1">
      <alignment horizontal="left"/>
    </xf>
    <xf numFmtId="164" fontId="0" fillId="0" borderId="0" xfId="15" applyNumberFormat="1" applyBorder="1" applyAlignment="1">
      <alignment/>
    </xf>
    <xf numFmtId="165" fontId="38" fillId="0" borderId="17" xfId="17" applyNumberFormat="1" applyFont="1" applyBorder="1" applyAlignment="1">
      <alignment/>
    </xf>
    <xf numFmtId="165" fontId="47" fillId="0" borderId="17" xfId="17" applyNumberFormat="1" applyFont="1" applyBorder="1" applyAlignment="1">
      <alignment/>
    </xf>
    <xf numFmtId="164" fontId="40" fillId="0" borderId="23" xfId="15" applyNumberFormat="1" applyFont="1" applyBorder="1" applyAlignment="1">
      <alignment/>
    </xf>
    <xf numFmtId="164" fontId="53" fillId="0" borderId="19" xfId="15" applyNumberFormat="1" applyFont="1" applyBorder="1" applyAlignment="1">
      <alignment/>
    </xf>
    <xf numFmtId="164" fontId="49" fillId="0" borderId="0" xfId="15" applyNumberFormat="1" applyFont="1" applyBorder="1" applyAlignment="1">
      <alignment/>
    </xf>
    <xf numFmtId="164" fontId="54" fillId="0" borderId="0" xfId="15" applyNumberFormat="1" applyFont="1" applyBorder="1" applyAlignment="1">
      <alignment/>
    </xf>
    <xf numFmtId="164" fontId="54" fillId="0" borderId="19" xfId="15" applyNumberFormat="1" applyFont="1" applyBorder="1" applyAlignment="1">
      <alignment/>
    </xf>
    <xf numFmtId="164" fontId="54" fillId="0" borderId="0" xfId="15" applyNumberFormat="1" applyFont="1" applyAlignment="1">
      <alignment/>
    </xf>
    <xf numFmtId="164" fontId="38" fillId="0" borderId="24" xfId="15" applyNumberFormat="1" applyFont="1" applyBorder="1" applyAlignment="1">
      <alignment/>
    </xf>
    <xf numFmtId="164" fontId="39" fillId="0" borderId="25" xfId="15" applyNumberFormat="1" applyFont="1" applyBorder="1" applyAlignment="1">
      <alignment/>
    </xf>
    <xf numFmtId="164" fontId="40" fillId="0" borderId="26" xfId="15" applyNumberFormat="1" applyFont="1" applyBorder="1" applyAlignment="1">
      <alignment/>
    </xf>
    <xf numFmtId="164" fontId="51" fillId="0" borderId="3" xfId="15" applyNumberFormat="1" applyFont="1" applyBorder="1" applyAlignment="1">
      <alignment/>
    </xf>
    <xf numFmtId="6" fontId="0" fillId="0" borderId="0" xfId="0" applyNumberFormat="1" applyAlignment="1">
      <alignment/>
    </xf>
    <xf numFmtId="164" fontId="38" fillId="0" borderId="0" xfId="0" applyNumberFormat="1" applyFont="1" applyAlignment="1">
      <alignment/>
    </xf>
    <xf numFmtId="164" fontId="39" fillId="0" borderId="0" xfId="0" applyNumberFormat="1" applyFont="1" applyAlignment="1">
      <alignment/>
    </xf>
    <xf numFmtId="164" fontId="40" fillId="0" borderId="0" xfId="0" applyNumberFormat="1" applyFont="1" applyBorder="1" applyAlignment="1">
      <alignment/>
    </xf>
    <xf numFmtId="0" fontId="51" fillId="0" borderId="0" xfId="0" applyFont="1" applyAlignment="1" quotePrefix="1">
      <alignment horizontal="center"/>
    </xf>
    <xf numFmtId="0" fontId="41" fillId="0" borderId="0" xfId="0" applyFont="1" applyAlignment="1">
      <alignment/>
    </xf>
    <xf numFmtId="6" fontId="38" fillId="0" borderId="0" xfId="0" applyNumberFormat="1" applyFont="1" applyAlignment="1">
      <alignment/>
    </xf>
    <xf numFmtId="6" fontId="39" fillId="0" borderId="0" xfId="0" applyNumberFormat="1" applyFont="1" applyAlignment="1">
      <alignment/>
    </xf>
    <xf numFmtId="164" fontId="40" fillId="0" borderId="0" xfId="0" applyNumberFormat="1" applyFont="1" applyAlignment="1">
      <alignment/>
    </xf>
    <xf numFmtId="6" fontId="41" fillId="0" borderId="0" xfId="0" applyNumberFormat="1" applyFont="1" applyAlignment="1">
      <alignment/>
    </xf>
    <xf numFmtId="164" fontId="41" fillId="0" borderId="0" xfId="0" applyNumberFormat="1" applyFont="1" applyAlignment="1">
      <alignment/>
    </xf>
    <xf numFmtId="38" fontId="41" fillId="0" borderId="0" xfId="0" applyNumberFormat="1" applyFont="1" applyAlignment="1">
      <alignment/>
    </xf>
    <xf numFmtId="6" fontId="40" fillId="0" borderId="0" xfId="0" applyNumberFormat="1" applyFont="1" applyAlignment="1">
      <alignment/>
    </xf>
    <xf numFmtId="0" fontId="41" fillId="0" borderId="0" xfId="0" applyFont="1" applyAlignment="1">
      <alignment horizontal="center"/>
    </xf>
    <xf numFmtId="0" fontId="38" fillId="0" borderId="0" xfId="0" applyFont="1" applyAlignment="1">
      <alignment/>
    </xf>
    <xf numFmtId="0" fontId="39" fillId="0" borderId="0" xfId="0" applyFont="1" applyAlignment="1">
      <alignment/>
    </xf>
    <xf numFmtId="165" fontId="38" fillId="0" borderId="24" xfId="17" applyNumberFormat="1" applyFont="1" applyBorder="1" applyAlignment="1">
      <alignment/>
    </xf>
    <xf numFmtId="165" fontId="47" fillId="0" borderId="24" xfId="17" applyNumberFormat="1" applyFont="1" applyBorder="1" applyAlignment="1">
      <alignment/>
    </xf>
    <xf numFmtId="165" fontId="40" fillId="0" borderId="26" xfId="17" applyNumberFormat="1" applyFont="1" applyBorder="1" applyAlignment="1">
      <alignment/>
    </xf>
    <xf numFmtId="5" fontId="51" fillId="0" borderId="3" xfId="15" applyNumberFormat="1" applyFont="1" applyBorder="1" applyAlignment="1">
      <alignment/>
    </xf>
    <xf numFmtId="0" fontId="38" fillId="0" borderId="0" xfId="15" applyNumberFormat="1" applyFont="1" applyAlignment="1">
      <alignment horizontal="left"/>
    </xf>
    <xf numFmtId="164" fontId="40" fillId="0" borderId="18" xfId="15" applyNumberFormat="1" applyFont="1" applyBorder="1" applyAlignment="1">
      <alignment/>
    </xf>
    <xf numFmtId="43" fontId="9" fillId="2" borderId="0" xfId="0" applyNumberFormat="1" applyFont="1" applyFill="1" applyBorder="1" applyAlignment="1" applyProtection="1">
      <alignment/>
      <protection locked="0"/>
    </xf>
    <xf numFmtId="43" fontId="9" fillId="2" borderId="0" xfId="0" applyNumberFormat="1" applyFont="1" applyFill="1" applyBorder="1" applyAlignment="1" applyProtection="1">
      <alignment horizontal="left"/>
      <protection locked="0"/>
    </xf>
    <xf numFmtId="43" fontId="12" fillId="2" borderId="0" xfId="0" applyNumberFormat="1" applyFont="1" applyFill="1" applyBorder="1" applyAlignment="1" applyProtection="1">
      <alignment/>
      <protection locked="0"/>
    </xf>
    <xf numFmtId="43" fontId="9" fillId="2" borderId="0" xfId="0" applyNumberFormat="1" applyFont="1" applyFill="1" applyBorder="1" applyAlignment="1" applyProtection="1">
      <alignment horizontal="center"/>
      <protection locked="0"/>
    </xf>
    <xf numFmtId="43" fontId="21" fillId="2" borderId="0" xfId="0" applyNumberFormat="1" applyFont="1" applyFill="1" applyBorder="1" applyAlignment="1" applyProtection="1">
      <alignment/>
      <protection locked="0"/>
    </xf>
    <xf numFmtId="43" fontId="21" fillId="0" borderId="0" xfId="0" applyNumberFormat="1" applyFont="1" applyBorder="1" applyAlignment="1">
      <alignment/>
    </xf>
    <xf numFmtId="43" fontId="12" fillId="0" borderId="0" xfId="15" applyNumberFormat="1" applyFont="1" applyBorder="1" applyAlignment="1">
      <alignment/>
    </xf>
    <xf numFmtId="164" fontId="14" fillId="0" borderId="12" xfId="15" applyNumberFormat="1" applyFont="1" applyBorder="1" applyAlignment="1">
      <alignment/>
    </xf>
    <xf numFmtId="164" fontId="9" fillId="5" borderId="11" xfId="15" applyNumberFormat="1" applyFont="1" applyBorder="1" applyAlignment="1">
      <alignment horizontal="right" wrapText="1"/>
    </xf>
    <xf numFmtId="164" fontId="21" fillId="0" borderId="11" xfId="15" applyNumberFormat="1" applyFont="1" applyBorder="1" applyAlignment="1">
      <alignment/>
    </xf>
    <xf numFmtId="164" fontId="12" fillId="0" borderId="7" xfId="15" applyNumberFormat="1" applyFont="1" applyBorder="1" applyAlignment="1">
      <alignment/>
    </xf>
    <xf numFmtId="164" fontId="12" fillId="0" borderId="0" xfId="15" applyNumberFormat="1" applyFont="1" applyFill="1" applyAlignment="1">
      <alignment/>
    </xf>
    <xf numFmtId="164" fontId="4" fillId="0" borderId="0" xfId="15" applyNumberFormat="1" applyFont="1" applyAlignment="1">
      <alignment/>
    </xf>
    <xf numFmtId="5" fontId="30" fillId="0" borderId="0" xfId="15" applyNumberFormat="1" applyFont="1" applyFill="1" applyAlignment="1">
      <alignment horizontal="centerContinuous"/>
    </xf>
    <xf numFmtId="5" fontId="5" fillId="0" borderId="0" xfId="15" applyNumberFormat="1" applyFont="1" applyAlignment="1">
      <alignment horizontal="centerContinuous"/>
    </xf>
    <xf numFmtId="5" fontId="9" fillId="0" borderId="0" xfId="15" applyNumberFormat="1" applyFont="1" applyFill="1" applyAlignment="1">
      <alignment horizontal="centerContinuous"/>
    </xf>
    <xf numFmtId="5" fontId="6" fillId="0" borderId="0" xfId="15" applyNumberFormat="1" applyFont="1" applyAlignment="1">
      <alignment/>
    </xf>
    <xf numFmtId="5" fontId="13" fillId="3" borderId="0" xfId="15" applyNumberFormat="1" applyFont="1" applyFill="1" applyAlignment="1">
      <alignment horizontal="centerContinuous" wrapText="1"/>
    </xf>
    <xf numFmtId="5" fontId="12" fillId="0" borderId="0" xfId="15" applyNumberFormat="1" applyFont="1" applyFill="1" applyAlignment="1">
      <alignment/>
    </xf>
    <xf numFmtId="5" fontId="12" fillId="0" borderId="0" xfId="15" applyNumberFormat="1" applyFont="1" applyBorder="1" applyAlignment="1">
      <alignment/>
    </xf>
    <xf numFmtId="43" fontId="12" fillId="0" borderId="0" xfId="15" applyNumberFormat="1" applyFont="1" applyBorder="1" applyAlignment="1">
      <alignment horizontal="right"/>
    </xf>
    <xf numFmtId="43" fontId="6" fillId="0" borderId="0" xfId="0" applyNumberFormat="1" applyFont="1" applyBorder="1" applyAlignment="1">
      <alignment/>
    </xf>
    <xf numFmtId="43" fontId="6" fillId="0" borderId="0" xfId="0" applyNumberFormat="1" applyFont="1" applyBorder="1" applyAlignment="1">
      <alignment horizontal="left"/>
    </xf>
    <xf numFmtId="43" fontId="12" fillId="0" borderId="0" xfId="0" applyNumberFormat="1" applyFont="1" applyBorder="1" applyAlignment="1">
      <alignment horizontal="left"/>
    </xf>
    <xf numFmtId="43" fontId="9" fillId="0" borderId="12" xfId="0" applyNumberFormat="1" applyFont="1" applyBorder="1" applyAlignment="1">
      <alignment horizontal="left"/>
    </xf>
    <xf numFmtId="43" fontId="9" fillId="0" borderId="13" xfId="0" applyNumberFormat="1" applyFont="1" applyBorder="1" applyAlignment="1">
      <alignment horizontal="left"/>
    </xf>
    <xf numFmtId="43" fontId="5" fillId="0" borderId="0" xfId="0" applyNumberFormat="1" applyFont="1" applyBorder="1" applyAlignment="1">
      <alignment/>
    </xf>
    <xf numFmtId="43" fontId="5" fillId="0" borderId="0" xfId="0" applyNumberFormat="1" applyFont="1" applyBorder="1" applyAlignment="1">
      <alignment horizontal="left"/>
    </xf>
    <xf numFmtId="5" fontId="32" fillId="0" borderId="0" xfId="15" applyNumberFormat="1" applyFont="1" applyAlignment="1">
      <alignment horizontal="centerContinuous"/>
    </xf>
    <xf numFmtId="5" fontId="12" fillId="0" borderId="0" xfId="15" applyNumberFormat="1" applyFont="1" applyAlignment="1">
      <alignment horizontal="centerContinuous"/>
    </xf>
    <xf numFmtId="5" fontId="6" fillId="0" borderId="0" xfId="0" applyNumberFormat="1" applyFont="1" applyAlignment="1">
      <alignment/>
    </xf>
    <xf numFmtId="5" fontId="12" fillId="0" borderId="0" xfId="0" applyNumberFormat="1" applyFont="1" applyFill="1" applyAlignment="1">
      <alignment horizontal="right"/>
    </xf>
    <xf numFmtId="5" fontId="30" fillId="0" borderId="0" xfId="0" applyNumberFormat="1" applyFont="1" applyFill="1" applyAlignment="1">
      <alignment horizontal="centerContinuous"/>
    </xf>
    <xf numFmtId="5" fontId="32" fillId="0" borderId="0" xfId="0" applyNumberFormat="1" applyFont="1" applyAlignment="1">
      <alignment horizontal="centerContinuous"/>
    </xf>
    <xf numFmtId="5" fontId="5" fillId="0" borderId="0" xfId="0" applyNumberFormat="1" applyFont="1" applyAlignment="1">
      <alignment horizontal="centerContinuous"/>
    </xf>
    <xf numFmtId="5" fontId="12" fillId="0" borderId="0" xfId="0" applyNumberFormat="1" applyFont="1" applyAlignment="1">
      <alignment horizontal="centerContinuous"/>
    </xf>
    <xf numFmtId="5" fontId="9" fillId="0" borderId="0" xfId="0" applyNumberFormat="1" applyFont="1" applyFill="1" applyAlignment="1">
      <alignment horizontal="centerContinuous"/>
    </xf>
    <xf numFmtId="5" fontId="13" fillId="3" borderId="0" xfId="0" applyNumberFormat="1" applyFont="1" applyFill="1" applyAlignment="1">
      <alignment horizontal="centerContinuous" wrapText="1"/>
    </xf>
    <xf numFmtId="5" fontId="13" fillId="3" borderId="0" xfId="0" applyNumberFormat="1" applyFont="1" applyFill="1" applyAlignment="1">
      <alignment horizontal="center" wrapText="1"/>
    </xf>
    <xf numFmtId="5" fontId="12" fillId="0" borderId="0" xfId="0" applyNumberFormat="1" applyFont="1" applyFill="1" applyAlignment="1">
      <alignment/>
    </xf>
    <xf numFmtId="5" fontId="21" fillId="0" borderId="0" xfId="0" applyNumberFormat="1" applyFont="1" applyFill="1" applyAlignment="1">
      <alignment horizontal="right"/>
    </xf>
    <xf numFmtId="164" fontId="9" fillId="0" borderId="0" xfId="15" applyNumberFormat="1" applyFont="1" applyBorder="1" applyAlignment="1">
      <alignment/>
    </xf>
    <xf numFmtId="164" fontId="13" fillId="3" borderId="0" xfId="0" applyNumberFormat="1" applyFont="1" applyFill="1" applyAlignment="1">
      <alignment horizontal="center" wrapText="1"/>
    </xf>
    <xf numFmtId="164" fontId="21" fillId="0" borderId="0" xfId="0" applyNumberFormat="1" applyFont="1" applyBorder="1" applyAlignment="1">
      <alignment/>
    </xf>
    <xf numFmtId="164" fontId="21" fillId="0" borderId="0" xfId="0" applyNumberFormat="1" applyFont="1" applyBorder="1" applyAlignment="1" quotePrefix="1">
      <alignment/>
    </xf>
    <xf numFmtId="5" fontId="7" fillId="0" borderId="0" xfId="15" applyNumberFormat="1" applyFont="1" applyFill="1" applyAlignment="1">
      <alignment horizontal="centerContinuous"/>
    </xf>
    <xf numFmtId="5" fontId="12" fillId="0" borderId="0" xfId="15" applyNumberFormat="1" applyFont="1" applyAlignment="1">
      <alignment/>
    </xf>
    <xf numFmtId="164" fontId="9" fillId="2" borderId="0" xfId="15" applyNumberFormat="1" applyFont="1" applyFill="1" applyBorder="1" applyAlignment="1" applyProtection="1">
      <alignment horizontal="left" indent="1"/>
      <protection locked="0"/>
    </xf>
    <xf numFmtId="43" fontId="32" fillId="0" borderId="0" xfId="0" applyNumberFormat="1" applyFont="1" applyBorder="1" applyAlignment="1">
      <alignment/>
    </xf>
    <xf numFmtId="43" fontId="12" fillId="0" borderId="0" xfId="0" applyNumberFormat="1" applyFont="1" applyAlignment="1">
      <alignment horizontal="centerContinuous"/>
    </xf>
    <xf numFmtId="164" fontId="9" fillId="2" borderId="0" xfId="15" applyNumberFormat="1" applyFont="1" applyFill="1" applyBorder="1" applyAlignment="1" applyProtection="1">
      <alignment horizontal="centerContinuous"/>
      <protection locked="0"/>
    </xf>
    <xf numFmtId="0" fontId="7" fillId="0" borderId="0" xfId="0" applyFont="1" applyFill="1" applyAlignment="1">
      <alignment horizontal="centerContinuous"/>
    </xf>
    <xf numFmtId="5" fontId="7" fillId="0" borderId="0" xfId="0" applyNumberFormat="1" applyFont="1" applyFill="1" applyAlignment="1">
      <alignment horizontal="centerContinuous"/>
    </xf>
    <xf numFmtId="5" fontId="6" fillId="0" borderId="0" xfId="0" applyNumberFormat="1" applyFont="1" applyAlignment="1">
      <alignment horizontal="centerContinuous"/>
    </xf>
    <xf numFmtId="38" fontId="12" fillId="0" borderId="0" xfId="0" applyNumberFormat="1" applyFont="1" applyAlignment="1">
      <alignment horizontal="right"/>
    </xf>
    <xf numFmtId="5" fontId="12" fillId="0" borderId="0" xfId="0" applyNumberFormat="1" applyFont="1" applyAlignment="1">
      <alignment/>
    </xf>
    <xf numFmtId="37" fontId="12" fillId="0" borderId="0" xfId="0" applyNumberFormat="1" applyFont="1" applyAlignment="1">
      <alignment horizontal="right"/>
    </xf>
    <xf numFmtId="37" fontId="21" fillId="0" borderId="0" xfId="0" applyNumberFormat="1" applyFont="1" applyAlignment="1">
      <alignment horizontal="right"/>
    </xf>
    <xf numFmtId="5" fontId="6" fillId="0" borderId="0" xfId="15" applyNumberFormat="1" applyFont="1" applyAlignment="1">
      <alignment horizontal="centerContinuous"/>
    </xf>
    <xf numFmtId="38" fontId="21" fillId="0" borderId="0" xfId="0" applyNumberFormat="1" applyFont="1" applyAlignment="1">
      <alignment horizontal="right"/>
    </xf>
    <xf numFmtId="38" fontId="21" fillId="0" borderId="0" xfId="0" applyNumberFormat="1" applyFont="1" applyAlignment="1">
      <alignment/>
    </xf>
    <xf numFmtId="0" fontId="12" fillId="0" borderId="0" xfId="0" applyFont="1" applyBorder="1" applyAlignment="1">
      <alignment wrapText="1"/>
    </xf>
    <xf numFmtId="0" fontId="6" fillId="0" borderId="0" xfId="0" applyFont="1" applyFill="1" applyBorder="1" applyAlignment="1">
      <alignment/>
    </xf>
    <xf numFmtId="0" fontId="9" fillId="0" borderId="0" xfId="0" applyFont="1" applyFill="1" applyBorder="1" applyAlignment="1">
      <alignment horizontal="left" wrapText="1"/>
    </xf>
    <xf numFmtId="0" fontId="14" fillId="0" borderId="0" xfId="0" applyFont="1" applyFill="1" applyBorder="1" applyAlignment="1">
      <alignment horizontal="left" wrapText="1"/>
    </xf>
    <xf numFmtId="164" fontId="25" fillId="6" borderId="0" xfId="15" applyNumberFormat="1" applyFont="1" applyFill="1" applyBorder="1" applyAlignment="1">
      <alignment vertical="center" wrapText="1"/>
    </xf>
    <xf numFmtId="164" fontId="25" fillId="6" borderId="0" xfId="15" applyNumberFormat="1" applyFont="1" applyFill="1" applyBorder="1" applyAlignment="1">
      <alignment wrapText="1"/>
    </xf>
    <xf numFmtId="0" fontId="12" fillId="0" borderId="0" xfId="0" applyFont="1" applyFill="1" applyBorder="1" applyAlignment="1">
      <alignment horizontal="left" wrapText="1"/>
    </xf>
    <xf numFmtId="0" fontId="12" fillId="0" borderId="0" xfId="0" applyFont="1" applyFill="1" applyBorder="1" applyAlignment="1">
      <alignment/>
    </xf>
    <xf numFmtId="164" fontId="12" fillId="0" borderId="0" xfId="15" applyNumberFormat="1" applyFont="1" applyFill="1" applyBorder="1" applyAlignment="1">
      <alignment/>
    </xf>
    <xf numFmtId="0" fontId="12" fillId="0" borderId="0" xfId="0" applyFont="1" applyFill="1" applyBorder="1" applyAlignment="1">
      <alignment/>
    </xf>
    <xf numFmtId="164" fontId="12" fillId="0" borderId="2" xfId="15" applyNumberFormat="1" applyFont="1" applyFill="1" applyBorder="1" applyAlignment="1">
      <alignment/>
    </xf>
    <xf numFmtId="164" fontId="14" fillId="0" borderId="0" xfId="15" applyNumberFormat="1" applyFont="1" applyFill="1" applyBorder="1" applyAlignment="1">
      <alignment wrapText="1"/>
    </xf>
    <xf numFmtId="0" fontId="12" fillId="0" borderId="0" xfId="0" applyFont="1" applyFill="1" applyBorder="1" applyAlignment="1">
      <alignment horizontal="left"/>
    </xf>
    <xf numFmtId="164" fontId="20" fillId="0" borderId="0" xfId="15" applyNumberFormat="1" applyFont="1" applyFill="1" applyBorder="1" applyAlignment="1">
      <alignment/>
    </xf>
    <xf numFmtId="0" fontId="9" fillId="0" borderId="0" xfId="0" applyFont="1" applyFill="1" applyBorder="1" applyAlignment="1">
      <alignment/>
    </xf>
    <xf numFmtId="164" fontId="9" fillId="0" borderId="2" xfId="15" applyNumberFormat="1" applyFont="1" applyFill="1" applyBorder="1" applyAlignment="1">
      <alignment/>
    </xf>
    <xf numFmtId="164" fontId="9" fillId="0" borderId="0" xfId="15" applyNumberFormat="1" applyFont="1" applyFill="1" applyBorder="1" applyAlignment="1">
      <alignment/>
    </xf>
    <xf numFmtId="0" fontId="14" fillId="0" borderId="0" xfId="0" applyFont="1" applyFill="1" applyBorder="1" applyAlignment="1">
      <alignment/>
    </xf>
    <xf numFmtId="164" fontId="21" fillId="0" borderId="0" xfId="15" applyNumberFormat="1" applyFont="1" applyFill="1" applyBorder="1" applyAlignment="1">
      <alignment/>
    </xf>
    <xf numFmtId="164" fontId="12" fillId="0" borderId="0" xfId="15" applyNumberFormat="1" applyFont="1" applyFill="1" applyBorder="1" applyAlignment="1">
      <alignment/>
    </xf>
    <xf numFmtId="8" fontId="9" fillId="0" borderId="0" xfId="0" applyNumberFormat="1" applyFont="1" applyFill="1" applyBorder="1" applyAlignment="1">
      <alignment/>
    </xf>
    <xf numFmtId="164" fontId="9" fillId="0" borderId="3" xfId="15" applyNumberFormat="1" applyFont="1" applyFill="1" applyBorder="1" applyAlignment="1">
      <alignment/>
    </xf>
    <xf numFmtId="8" fontId="12" fillId="0" borderId="0" xfId="0" applyNumberFormat="1" applyFont="1" applyFill="1" applyBorder="1" applyAlignment="1">
      <alignment/>
    </xf>
    <xf numFmtId="0" fontId="14" fillId="0" borderId="0" xfId="0" applyFont="1" applyFill="1" applyBorder="1" applyAlignment="1" quotePrefix="1">
      <alignment horizontal="right" wrapText="1"/>
    </xf>
    <xf numFmtId="164" fontId="12" fillId="0" borderId="0" xfId="0" applyNumberFormat="1" applyFont="1" applyFill="1" applyBorder="1" applyAlignment="1">
      <alignment/>
    </xf>
    <xf numFmtId="0" fontId="7" fillId="0" borderId="0" xfId="0" applyFont="1" applyAlignment="1">
      <alignment/>
    </xf>
    <xf numFmtId="6" fontId="12" fillId="0" borderId="0" xfId="15" applyNumberFormat="1" applyFont="1" applyAlignment="1">
      <alignment horizontal="right"/>
    </xf>
    <xf numFmtId="5" fontId="12" fillId="0" borderId="0" xfId="15" applyNumberFormat="1" applyFont="1" applyAlignment="1">
      <alignment horizontal="right"/>
    </xf>
    <xf numFmtId="6" fontId="9" fillId="0" borderId="3" xfId="15" applyNumberFormat="1" applyFont="1" applyBorder="1" applyAlignment="1">
      <alignment/>
    </xf>
    <xf numFmtId="5" fontId="9" fillId="0" borderId="3" xfId="15" applyNumberFormat="1" applyFont="1" applyBorder="1" applyAlignment="1">
      <alignment/>
    </xf>
    <xf numFmtId="5" fontId="9" fillId="0" borderId="3" xfId="17" applyNumberFormat="1" applyFont="1" applyBorder="1" applyAlignment="1">
      <alignment horizontal="right"/>
    </xf>
    <xf numFmtId="43" fontId="12" fillId="0" borderId="0" xfId="15" applyNumberFormat="1" applyFont="1" applyFill="1" applyAlignment="1">
      <alignment horizontal="right"/>
    </xf>
    <xf numFmtId="41" fontId="12" fillId="0" borderId="0" xfId="15" applyNumberFormat="1" applyFont="1" applyFill="1" applyAlignment="1">
      <alignment horizontal="right"/>
    </xf>
    <xf numFmtId="5" fontId="12" fillId="0" borderId="0" xfId="17" applyNumberFormat="1" applyFont="1" applyFill="1" applyBorder="1" applyAlignment="1">
      <alignment horizontal="right"/>
    </xf>
    <xf numFmtId="37" fontId="12" fillId="0" borderId="2" xfId="0" applyNumberFormat="1" applyFont="1" applyFill="1" applyBorder="1" applyAlignment="1">
      <alignment horizontal="right"/>
    </xf>
    <xf numFmtId="37" fontId="12" fillId="0" borderId="2" xfId="15" applyNumberFormat="1" applyFont="1" applyFill="1" applyBorder="1" applyAlignment="1">
      <alignment horizontal="right"/>
    </xf>
    <xf numFmtId="43" fontId="12" fillId="0" borderId="2" xfId="15" applyNumberFormat="1" applyFont="1" applyFill="1" applyBorder="1" applyAlignment="1">
      <alignment horizontal="right"/>
    </xf>
    <xf numFmtId="5" fontId="9" fillId="0" borderId="3" xfId="0" applyNumberFormat="1" applyFont="1" applyBorder="1" applyAlignment="1">
      <alignment horizontal="right"/>
    </xf>
    <xf numFmtId="38" fontId="12" fillId="0" borderId="0" xfId="15" applyNumberFormat="1" applyFont="1" applyFill="1" applyBorder="1" applyAlignment="1">
      <alignment horizontal="right"/>
    </xf>
    <xf numFmtId="38" fontId="12" fillId="0" borderId="0" xfId="15" applyNumberFormat="1" applyFont="1" applyFill="1" applyAlignment="1">
      <alignment horizontal="right"/>
    </xf>
    <xf numFmtId="43" fontId="9" fillId="0" borderId="3" xfId="15" applyNumberFormat="1" applyFont="1" applyFill="1" applyBorder="1" applyAlignment="1">
      <alignment horizontal="right"/>
    </xf>
    <xf numFmtId="5" fontId="9" fillId="0" borderId="0" xfId="15" applyNumberFormat="1" applyFont="1" applyFill="1" applyBorder="1" applyAlignment="1">
      <alignment horizontal="right"/>
    </xf>
    <xf numFmtId="5" fontId="9" fillId="5" borderId="13" xfId="15" applyNumberFormat="1" applyFont="1" applyBorder="1" applyAlignment="1">
      <alignment horizontal="right"/>
    </xf>
    <xf numFmtId="166" fontId="9" fillId="5" borderId="27" xfId="15" applyNumberFormat="1" applyFont="1" applyBorder="1" applyAlignment="1">
      <alignment horizontal="right"/>
    </xf>
    <xf numFmtId="164" fontId="55" fillId="3" borderId="0" xfId="15" applyNumberFormat="1" applyFont="1" applyFill="1" applyBorder="1" applyAlignment="1">
      <alignment horizontal="center" wrapText="1"/>
    </xf>
    <xf numFmtId="5" fontId="12" fillId="0" borderId="0" xfId="15" applyNumberFormat="1" applyFont="1" applyFill="1" applyBorder="1" applyAlignment="1">
      <alignment/>
    </xf>
    <xf numFmtId="5" fontId="9" fillId="0" borderId="3" xfId="15" applyNumberFormat="1" applyFont="1" applyFill="1" applyBorder="1" applyAlignment="1">
      <alignment/>
    </xf>
    <xf numFmtId="5" fontId="9" fillId="0" borderId="11" xfId="15" applyNumberFormat="1" applyFont="1" applyBorder="1" applyAlignment="1">
      <alignment/>
    </xf>
    <xf numFmtId="5" fontId="9" fillId="0" borderId="28" xfId="15" applyNumberFormat="1" applyFont="1" applyBorder="1" applyAlignment="1">
      <alignment/>
    </xf>
    <xf numFmtId="5" fontId="12" fillId="0" borderId="1" xfId="15" applyNumberFormat="1" applyFont="1" applyFill="1" applyBorder="1" applyAlignment="1">
      <alignment horizontal="right"/>
    </xf>
    <xf numFmtId="5" fontId="9" fillId="0" borderId="29" xfId="15" applyNumberFormat="1" applyFont="1" applyFill="1" applyBorder="1" applyAlignment="1">
      <alignment horizontal="right"/>
    </xf>
    <xf numFmtId="6" fontId="9" fillId="0" borderId="3" xfId="17" applyNumberFormat="1" applyFont="1" applyFill="1" applyBorder="1" applyAlignment="1">
      <alignment horizontal="right"/>
    </xf>
    <xf numFmtId="5" fontId="13" fillId="3" borderId="0" xfId="15" applyNumberFormat="1" applyFont="1" applyFill="1" applyAlignment="1">
      <alignment horizontal="center" wrapText="1"/>
    </xf>
    <xf numFmtId="38" fontId="9" fillId="0" borderId="0" xfId="0" applyNumberFormat="1" applyFont="1" applyBorder="1" applyAlignment="1">
      <alignment horizontal="center" wrapText="1"/>
    </xf>
    <xf numFmtId="0" fontId="35" fillId="0" borderId="0" xfId="0" applyFont="1" applyFill="1" applyAlignment="1">
      <alignment horizontal="left"/>
    </xf>
    <xf numFmtId="166" fontId="12" fillId="0" borderId="0" xfId="0" applyNumberFormat="1" applyFont="1" applyBorder="1" applyAlignment="1">
      <alignment/>
    </xf>
    <xf numFmtId="0" fontId="12" fillId="0" borderId="5" xfId="0" applyFont="1" applyBorder="1" applyAlignment="1">
      <alignment/>
    </xf>
    <xf numFmtId="0" fontId="12" fillId="0" borderId="11" xfId="0" applyFont="1" applyBorder="1" applyAlignment="1">
      <alignment/>
    </xf>
    <xf numFmtId="43" fontId="9" fillId="0" borderId="0" xfId="15" applyNumberFormat="1" applyFont="1" applyFill="1" applyBorder="1" applyAlignment="1">
      <alignment horizontal="right"/>
    </xf>
    <xf numFmtId="5" fontId="9" fillId="0" borderId="0" xfId="0" applyNumberFormat="1" applyFont="1" applyBorder="1" applyAlignment="1">
      <alignment horizontal="right"/>
    </xf>
    <xf numFmtId="38" fontId="9" fillId="0" borderId="3" xfId="0" applyNumberFormat="1" applyFont="1" applyBorder="1" applyAlignment="1">
      <alignment horizontal="right"/>
    </xf>
    <xf numFmtId="6" fontId="9" fillId="5" borderId="11" xfId="15" applyNumberFormat="1" applyFont="1" applyBorder="1" applyAlignment="1">
      <alignment horizontal="right"/>
    </xf>
    <xf numFmtId="6" fontId="9" fillId="5" borderId="27" xfId="15" applyNumberFormat="1" applyFont="1" applyBorder="1" applyAlignment="1">
      <alignment horizontal="right"/>
    </xf>
    <xf numFmtId="7" fontId="5" fillId="0" borderId="0" xfId="0" applyNumberFormat="1" applyFont="1" applyBorder="1" applyAlignment="1">
      <alignment/>
    </xf>
    <xf numFmtId="43" fontId="12" fillId="0" borderId="0" xfId="15" applyFont="1" applyFill="1" applyAlignment="1">
      <alignment horizontal="right"/>
    </xf>
    <xf numFmtId="164" fontId="12" fillId="0" borderId="0" xfId="0" applyNumberFormat="1" applyFont="1" applyAlignment="1">
      <alignment/>
    </xf>
    <xf numFmtId="164" fontId="55" fillId="3" borderId="0" xfId="15" applyNumberFormat="1" applyFont="1" applyFill="1" applyBorder="1" applyAlignment="1">
      <alignment horizontal="center" vertical="center" wrapText="1"/>
    </xf>
    <xf numFmtId="164" fontId="9" fillId="0" borderId="3" xfId="15" applyNumberFormat="1" applyFont="1" applyBorder="1" applyAlignment="1">
      <alignment horizontal="left" indent="1"/>
    </xf>
    <xf numFmtId="168" fontId="30" fillId="0" borderId="0" xfId="0" applyNumberFormat="1" applyFont="1" applyBorder="1" applyAlignment="1">
      <alignment horizontal="centerContinuous"/>
    </xf>
    <xf numFmtId="168" fontId="30" fillId="0" borderId="0" xfId="15" applyNumberFormat="1" applyFont="1" applyFill="1" applyAlignment="1">
      <alignment horizontal="centerContinuous"/>
    </xf>
    <xf numFmtId="168" fontId="30" fillId="0" borderId="0" xfId="15" applyNumberFormat="1" applyFont="1" applyBorder="1" applyAlignment="1">
      <alignment horizontal="centerContinuous"/>
    </xf>
    <xf numFmtId="168" fontId="32" fillId="0" borderId="0" xfId="15" applyNumberFormat="1" applyFont="1" applyBorder="1" applyAlignment="1">
      <alignment horizontal="centerContinuous"/>
    </xf>
    <xf numFmtId="168" fontId="4" fillId="0" borderId="0" xfId="0" applyNumberFormat="1" applyFont="1" applyFill="1" applyAlignment="1">
      <alignment horizontal="centerContinuous"/>
    </xf>
    <xf numFmtId="168" fontId="4" fillId="0" borderId="0" xfId="15" applyNumberFormat="1" applyFont="1" applyFill="1" applyAlignment="1">
      <alignment horizontal="centerContinuous"/>
    </xf>
    <xf numFmtId="168" fontId="5" fillId="0" borderId="0" xfId="15" applyNumberFormat="1" applyFont="1" applyAlignment="1">
      <alignment horizontal="centerContinuous"/>
    </xf>
    <xf numFmtId="168" fontId="12" fillId="0" borderId="0" xfId="15" applyNumberFormat="1" applyFont="1" applyBorder="1" applyAlignment="1">
      <alignment horizontal="centerContinuous"/>
    </xf>
    <xf numFmtId="168" fontId="7" fillId="0" borderId="0" xfId="0" applyNumberFormat="1" applyFont="1" applyBorder="1" applyAlignment="1">
      <alignment horizontal="centerContinuous"/>
    </xf>
    <xf numFmtId="168" fontId="7" fillId="0" borderId="0" xfId="15" applyNumberFormat="1" applyFont="1" applyFill="1" applyAlignment="1">
      <alignment horizontal="centerContinuous"/>
    </xf>
    <xf numFmtId="168" fontId="7" fillId="0" borderId="0" xfId="15" applyNumberFormat="1" applyFont="1" applyBorder="1" applyAlignment="1">
      <alignment horizontal="centerContinuous"/>
    </xf>
    <xf numFmtId="168" fontId="6" fillId="0" borderId="0" xfId="15" applyNumberFormat="1" applyFont="1" applyBorder="1" applyAlignment="1">
      <alignment horizontal="centerContinuous"/>
    </xf>
    <xf numFmtId="168" fontId="12" fillId="0" borderId="0" xfId="0" applyNumberFormat="1" applyFont="1" applyBorder="1" applyAlignment="1">
      <alignment horizontal="centerContinuous"/>
    </xf>
    <xf numFmtId="168" fontId="6" fillId="0" borderId="0" xfId="15" applyNumberFormat="1" applyFont="1" applyAlignment="1">
      <alignment/>
    </xf>
    <xf numFmtId="168" fontId="13" fillId="3" borderId="0" xfId="15" applyNumberFormat="1" applyFont="1" applyFill="1" applyAlignment="1">
      <alignment horizontal="centerContinuous" wrapText="1"/>
    </xf>
    <xf numFmtId="168" fontId="13" fillId="3" borderId="0" xfId="15" applyNumberFormat="1" applyFont="1" applyFill="1" applyBorder="1" applyAlignment="1">
      <alignment horizontal="centerContinuous" wrapText="1"/>
    </xf>
    <xf numFmtId="168" fontId="13" fillId="3" borderId="0" xfId="15" applyNumberFormat="1" applyFont="1" applyFill="1" applyBorder="1" applyAlignment="1">
      <alignment horizontal="center" wrapText="1"/>
    </xf>
    <xf numFmtId="168" fontId="12" fillId="0" borderId="0" xfId="15" applyNumberFormat="1" applyFont="1" applyFill="1" applyAlignment="1">
      <alignment/>
    </xf>
    <xf numFmtId="168" fontId="12" fillId="0" borderId="0" xfId="15" applyNumberFormat="1" applyFont="1" applyBorder="1" applyAlignment="1">
      <alignment/>
    </xf>
    <xf numFmtId="168" fontId="12" fillId="0" borderId="0" xfId="15" applyNumberFormat="1" applyFont="1" applyBorder="1" applyAlignment="1">
      <alignment horizontal="left" wrapText="1"/>
    </xf>
    <xf numFmtId="168" fontId="12" fillId="0" borderId="0" xfId="15" applyNumberFormat="1" applyFont="1" applyBorder="1" applyAlignment="1">
      <alignment horizontal="right"/>
    </xf>
    <xf numFmtId="168" fontId="12" fillId="0" borderId="0" xfId="15" applyNumberFormat="1" applyFont="1" applyAlignment="1">
      <alignment/>
    </xf>
    <xf numFmtId="168" fontId="12" fillId="0" borderId="0" xfId="0" applyNumberFormat="1" applyFont="1" applyBorder="1" applyAlignment="1">
      <alignment/>
    </xf>
    <xf numFmtId="43" fontId="30" fillId="0" borderId="0" xfId="15" applyNumberFormat="1" applyFont="1" applyFill="1" applyAlignment="1">
      <alignment horizontal="centerContinuous"/>
    </xf>
    <xf numFmtId="43" fontId="30" fillId="0" borderId="0" xfId="15" applyNumberFormat="1" applyFont="1" applyBorder="1" applyAlignment="1">
      <alignment horizontal="centerContinuous"/>
    </xf>
    <xf numFmtId="43" fontId="32" fillId="0" borderId="0" xfId="15" applyNumberFormat="1" applyFont="1" applyBorder="1" applyAlignment="1">
      <alignment horizontal="centerContinuous"/>
    </xf>
    <xf numFmtId="43" fontId="4" fillId="0" borderId="0" xfId="15" applyNumberFormat="1" applyFont="1" applyFill="1" applyAlignment="1">
      <alignment horizontal="centerContinuous"/>
    </xf>
    <xf numFmtId="43" fontId="5" fillId="0" borderId="0" xfId="15" applyNumberFormat="1" applyFont="1" applyAlignment="1">
      <alignment horizontal="centerContinuous"/>
    </xf>
    <xf numFmtId="43" fontId="12" fillId="0" borderId="0" xfId="15" applyNumberFormat="1" applyFont="1" applyBorder="1" applyAlignment="1">
      <alignment horizontal="centerContinuous"/>
    </xf>
    <xf numFmtId="43" fontId="7" fillId="0" borderId="0" xfId="15" applyNumberFormat="1" applyFont="1" applyFill="1" applyAlignment="1">
      <alignment horizontal="centerContinuous"/>
    </xf>
    <xf numFmtId="43" fontId="7" fillId="0" borderId="0" xfId="15" applyNumberFormat="1" applyFont="1" applyBorder="1" applyAlignment="1">
      <alignment horizontal="centerContinuous"/>
    </xf>
    <xf numFmtId="43" fontId="6" fillId="0" borderId="0" xfId="15" applyNumberFormat="1" applyFont="1" applyBorder="1" applyAlignment="1">
      <alignment horizontal="centerContinuous"/>
    </xf>
    <xf numFmtId="43" fontId="6" fillId="0" borderId="0" xfId="15" applyNumberFormat="1" applyFont="1" applyAlignment="1">
      <alignment/>
    </xf>
    <xf numFmtId="43" fontId="13" fillId="3" borderId="0" xfId="15" applyNumberFormat="1" applyFont="1" applyFill="1" applyAlignment="1">
      <alignment horizontal="centerContinuous" wrapText="1"/>
    </xf>
    <xf numFmtId="43" fontId="13" fillId="3" borderId="0" xfId="15" applyNumberFormat="1" applyFont="1" applyFill="1" applyBorder="1" applyAlignment="1">
      <alignment horizontal="centerContinuous" wrapText="1"/>
    </xf>
    <xf numFmtId="43" fontId="13" fillId="3" borderId="0" xfId="15" applyNumberFormat="1" applyFont="1" applyFill="1" applyBorder="1" applyAlignment="1">
      <alignment horizontal="center" wrapText="1"/>
    </xf>
    <xf numFmtId="43" fontId="12" fillId="0" borderId="0" xfId="17" applyNumberFormat="1" applyFont="1" applyBorder="1" applyAlignment="1">
      <alignment horizontal="right"/>
    </xf>
    <xf numFmtId="43" fontId="12" fillId="0" borderId="0" xfId="15" applyNumberFormat="1" applyFont="1" applyBorder="1" applyAlignment="1">
      <alignment horizontal="left" wrapText="1"/>
    </xf>
    <xf numFmtId="41" fontId="12" fillId="0" borderId="0" xfId="15" applyNumberFormat="1" applyFont="1" applyBorder="1" applyAlignment="1">
      <alignment horizontal="right"/>
    </xf>
    <xf numFmtId="41" fontId="12" fillId="0" borderId="2" xfId="15" applyNumberFormat="1" applyFont="1" applyBorder="1" applyAlignment="1">
      <alignment horizontal="right"/>
    </xf>
    <xf numFmtId="41" fontId="9" fillId="0" borderId="3" xfId="15" applyNumberFormat="1" applyFont="1" applyBorder="1" applyAlignment="1">
      <alignment horizontal="right"/>
    </xf>
    <xf numFmtId="41" fontId="21" fillId="0" borderId="0" xfId="15" applyNumberFormat="1" applyFont="1" applyFill="1" applyAlignment="1">
      <alignment horizontal="right"/>
    </xf>
    <xf numFmtId="41" fontId="18" fillId="0" borderId="0" xfId="15" applyNumberFormat="1" applyFont="1" applyBorder="1" applyAlignment="1">
      <alignment horizontal="right"/>
    </xf>
    <xf numFmtId="6" fontId="12" fillId="0" borderId="0" xfId="15" applyNumberFormat="1" applyFont="1" applyBorder="1" applyAlignment="1">
      <alignment horizontal="right"/>
    </xf>
    <xf numFmtId="6" fontId="9" fillId="0" borderId="3" xfId="15" applyNumberFormat="1" applyFont="1" applyBorder="1" applyAlignment="1">
      <alignment horizontal="right"/>
    </xf>
    <xf numFmtId="164" fontId="18" fillId="0" borderId="0" xfId="15" applyNumberFormat="1" applyFont="1" applyBorder="1" applyAlignment="1">
      <alignment horizontal="right"/>
    </xf>
    <xf numFmtId="6" fontId="12" fillId="0" borderId="0" xfId="17" applyNumberFormat="1" applyFont="1" applyBorder="1" applyAlignment="1">
      <alignment horizontal="right"/>
    </xf>
    <xf numFmtId="43" fontId="12" fillId="0" borderId="0" xfId="15" applyNumberFormat="1" applyFont="1" applyAlignment="1">
      <alignment horizontal="right"/>
    </xf>
    <xf numFmtId="0" fontId="56" fillId="0" borderId="0" xfId="0" applyFont="1" applyAlignment="1">
      <alignment/>
    </xf>
    <xf numFmtId="176" fontId="56" fillId="0" borderId="0" xfId="15" applyNumberFormat="1" applyFont="1" applyAlignment="1">
      <alignment/>
    </xf>
    <xf numFmtId="43" fontId="12" fillId="0" borderId="0" xfId="15" applyFont="1" applyFill="1" applyBorder="1" applyAlignment="1">
      <alignment/>
    </xf>
    <xf numFmtId="43" fontId="9" fillId="0" borderId="3" xfId="15" applyFont="1" applyBorder="1" applyAlignment="1">
      <alignment/>
    </xf>
    <xf numFmtId="164" fontId="9" fillId="0" borderId="29" xfId="15" applyNumberFormat="1" applyFont="1" applyFill="1" applyBorder="1" applyAlignment="1">
      <alignment horizontal="right"/>
    </xf>
    <xf numFmtId="0" fontId="57" fillId="0" borderId="0" xfId="0" applyFont="1" applyAlignment="1">
      <alignment horizontal="left" vertical="center" wrapText="1"/>
    </xf>
    <xf numFmtId="0" fontId="57" fillId="0" borderId="0" xfId="0" applyFont="1" applyAlignment="1">
      <alignment/>
    </xf>
    <xf numFmtId="0" fontId="57" fillId="0" borderId="0" xfId="0" applyFont="1" applyAlignment="1">
      <alignment horizontal="center"/>
    </xf>
    <xf numFmtId="0" fontId="58" fillId="0" borderId="0" xfId="0" applyFont="1" applyAlignment="1">
      <alignment horizontal="center"/>
    </xf>
    <xf numFmtId="0" fontId="59" fillId="0" borderId="0" xfId="0" applyFont="1" applyAlignment="1">
      <alignment horizontal="right"/>
    </xf>
    <xf numFmtId="5" fontId="57" fillId="0" borderId="0" xfId="0" applyNumberFormat="1" applyFont="1" applyAlignment="1">
      <alignment horizontal="center"/>
    </xf>
    <xf numFmtId="5" fontId="57" fillId="0" borderId="0" xfId="0" applyNumberFormat="1" applyFont="1" applyAlignment="1">
      <alignment/>
    </xf>
    <xf numFmtId="38" fontId="57" fillId="0" borderId="0" xfId="0" applyNumberFormat="1" applyFont="1" applyAlignment="1">
      <alignment horizontal="center"/>
    </xf>
    <xf numFmtId="5" fontId="57" fillId="0" borderId="3" xfId="0" applyNumberFormat="1" applyFont="1" applyBorder="1" applyAlignment="1">
      <alignment horizontal="center"/>
    </xf>
    <xf numFmtId="5" fontId="57" fillId="0" borderId="0" xfId="0" applyNumberFormat="1" applyFont="1" applyBorder="1" applyAlignment="1">
      <alignment/>
    </xf>
    <xf numFmtId="0" fontId="4" fillId="0" borderId="0" xfId="0" applyFont="1" applyFill="1" applyAlignment="1">
      <alignment horizontal="center"/>
    </xf>
    <xf numFmtId="0" fontId="15" fillId="0" borderId="0" xfId="0" applyFont="1" applyFill="1" applyAlignment="1">
      <alignment horizontal="center"/>
    </xf>
    <xf numFmtId="0" fontId="7" fillId="0" borderId="0" xfId="0" applyFont="1" applyFill="1" applyAlignment="1">
      <alignment horizontal="center"/>
    </xf>
    <xf numFmtId="15" fontId="7" fillId="0" borderId="0" xfId="0" applyNumberFormat="1" applyFont="1" applyFill="1" applyAlignment="1" quotePrefix="1">
      <alignment horizontal="center"/>
    </xf>
    <xf numFmtId="0" fontId="4" fillId="0" borderId="0" xfId="0" applyFont="1" applyFill="1" applyBorder="1" applyAlignment="1">
      <alignment horizontal="center"/>
    </xf>
    <xf numFmtId="0" fontId="15" fillId="0" borderId="0" xfId="0" applyFont="1" applyBorder="1" applyAlignment="1">
      <alignment horizontal="center"/>
    </xf>
    <xf numFmtId="0" fontId="7" fillId="0" borderId="0" xfId="0" applyFont="1" applyBorder="1" applyAlignment="1">
      <alignment horizontal="center"/>
    </xf>
    <xf numFmtId="15" fontId="7" fillId="0" borderId="0" xfId="0" applyNumberFormat="1" applyFont="1" applyBorder="1" applyAlignment="1">
      <alignment horizontal="center"/>
    </xf>
    <xf numFmtId="38" fontId="30" fillId="0" borderId="0" xfId="0" applyNumberFormat="1" applyFont="1" applyFill="1" applyBorder="1" applyAlignment="1">
      <alignment horizontal="center"/>
    </xf>
    <xf numFmtId="0" fontId="7" fillId="0" borderId="0" xfId="0" applyFont="1" applyFill="1" applyBorder="1" applyAlignment="1">
      <alignment horizontal="center"/>
    </xf>
    <xf numFmtId="0" fontId="7" fillId="0" borderId="5" xfId="0" applyFont="1" applyBorder="1" applyAlignment="1">
      <alignment horizontal="center"/>
    </xf>
    <xf numFmtId="0" fontId="7" fillId="0" borderId="11" xfId="0" applyFont="1" applyBorder="1" applyAlignment="1">
      <alignment horizontal="center"/>
    </xf>
    <xf numFmtId="0" fontId="15" fillId="0" borderId="6" xfId="0" applyFont="1" applyBorder="1" applyAlignment="1">
      <alignment horizontal="center"/>
    </xf>
    <xf numFmtId="0" fontId="15" fillId="0" borderId="10" xfId="0" applyFont="1" applyBorder="1" applyAlignment="1">
      <alignment horizontal="center"/>
    </xf>
    <xf numFmtId="0" fontId="15" fillId="0" borderId="12" xfId="0" applyFont="1" applyBorder="1" applyAlignment="1">
      <alignment horizontal="center"/>
    </xf>
    <xf numFmtId="0" fontId="4" fillId="0" borderId="5" xfId="0" applyFont="1" applyFill="1" applyBorder="1" applyAlignment="1">
      <alignment horizontal="center"/>
    </xf>
    <xf numFmtId="0" fontId="4" fillId="0" borderId="11" xfId="0" applyFont="1" applyFill="1" applyBorder="1" applyAlignment="1">
      <alignment horizontal="center"/>
    </xf>
    <xf numFmtId="43" fontId="15" fillId="0" borderId="10" xfId="0" applyNumberFormat="1" applyFont="1" applyBorder="1" applyAlignment="1">
      <alignment horizontal="center"/>
    </xf>
    <xf numFmtId="43" fontId="15" fillId="0" borderId="12" xfId="0" applyNumberFormat="1" applyFont="1" applyBorder="1" applyAlignment="1">
      <alignment horizontal="center"/>
    </xf>
    <xf numFmtId="0" fontId="57" fillId="0" borderId="0" xfId="0" applyNumberFormat="1" applyFont="1" applyAlignment="1">
      <alignment horizontal="left" vertical="center" wrapText="1"/>
    </xf>
    <xf numFmtId="0" fontId="57" fillId="0" borderId="0" xfId="0" applyNumberFormat="1" applyFont="1" applyAlignment="1">
      <alignment horizontal="center" vertical="center" wrapText="1"/>
    </xf>
    <xf numFmtId="0" fontId="57" fillId="0" borderId="0" xfId="0" applyFont="1" applyAlignment="1">
      <alignment horizontal="left" vertical="center" wrapText="1"/>
    </xf>
    <xf numFmtId="0" fontId="58" fillId="0" borderId="0" xfId="0" applyFont="1" applyAlignment="1">
      <alignment horizontal="center" vertical="center" wrapText="1"/>
    </xf>
    <xf numFmtId="43" fontId="30" fillId="2" borderId="0" xfId="0" applyNumberFormat="1" applyFont="1" applyFill="1" applyBorder="1" applyAlignment="1" applyProtection="1">
      <alignment horizontal="center"/>
      <protection locked="0"/>
    </xf>
    <xf numFmtId="43" fontId="7" fillId="2" borderId="0" xfId="0" applyNumberFormat="1" applyFont="1" applyFill="1" applyBorder="1" applyAlignment="1" applyProtection="1">
      <alignment horizontal="center"/>
      <protection locked="0"/>
    </xf>
    <xf numFmtId="43" fontId="4" fillId="0" borderId="0" xfId="0" applyNumberFormat="1" applyFont="1" applyFill="1" applyAlignment="1">
      <alignment horizontal="center"/>
    </xf>
    <xf numFmtId="0" fontId="30" fillId="2" borderId="0" xfId="0" applyFont="1" applyFill="1" applyBorder="1" applyAlignment="1" applyProtection="1">
      <alignment horizontal="center"/>
      <protection locked="0"/>
    </xf>
    <xf numFmtId="0" fontId="7" fillId="2" borderId="0" xfId="0" applyFont="1" applyFill="1" applyBorder="1" applyAlignment="1" applyProtection="1">
      <alignment horizontal="center"/>
      <protection locked="0"/>
    </xf>
    <xf numFmtId="44" fontId="15" fillId="0" borderId="0" xfId="17" applyFont="1" applyAlignment="1">
      <alignment horizontal="center"/>
    </xf>
    <xf numFmtId="0" fontId="4" fillId="0" borderId="0" xfId="0" applyFont="1" applyAlignment="1">
      <alignment horizontal="center"/>
    </xf>
    <xf numFmtId="0" fontId="9" fillId="0" borderId="0" xfId="0" applyFont="1" applyAlignment="1">
      <alignment horizontal="center"/>
    </xf>
    <xf numFmtId="0" fontId="9" fillId="0" borderId="8"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externalLink" Target="externalLinks/externalLink9.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33</xdr:row>
      <xdr:rowOff>9525</xdr:rowOff>
    </xdr:from>
    <xdr:to>
      <xdr:col>4</xdr:col>
      <xdr:colOff>0</xdr:colOff>
      <xdr:row>38</xdr:row>
      <xdr:rowOff>219075</xdr:rowOff>
    </xdr:to>
    <xdr:sp>
      <xdr:nvSpPr>
        <xdr:cNvPr id="1" name="AutoShape 1"/>
        <xdr:cNvSpPr>
          <a:spLocks/>
        </xdr:cNvSpPr>
      </xdr:nvSpPr>
      <xdr:spPr>
        <a:xfrm>
          <a:off x="3724275" y="8181975"/>
          <a:ext cx="1476375" cy="1447800"/>
        </a:xfrm>
        <a:prstGeom prst="rect"/>
        <a:noFill/>
      </xdr:spPr>
      <xdr:txBody>
        <a:bodyPr fromWordArt="1" wrap="none">
          <a:prstTxWarp prst="textSlantUp"/>
        </a:bodyPr>
        <a:p>
          <a:pPr algn="ctr"/>
          <a:r>
            <a:rPr sz="3600" kern="10" spc="0">
              <a:ln w="9525" cmpd="sng">
                <a:solidFill>
                  <a:srgbClr val="000000"/>
                </a:solidFill>
                <a:headEnd type="none"/>
                <a:tailEnd type="none"/>
              </a:ln>
              <a:solidFill>
                <a:srgbClr val="000000"/>
              </a:solidFill>
              <a:latin typeface="Algerian"/>
              <a:cs typeface="Algerian"/>
            </a:rPr>
            <a:t>DRAFT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33</xdr:row>
      <xdr:rowOff>9525</xdr:rowOff>
    </xdr:from>
    <xdr:to>
      <xdr:col>4</xdr:col>
      <xdr:colOff>0</xdr:colOff>
      <xdr:row>38</xdr:row>
      <xdr:rowOff>219075</xdr:rowOff>
    </xdr:to>
    <xdr:sp>
      <xdr:nvSpPr>
        <xdr:cNvPr id="1" name="AutoShape 2"/>
        <xdr:cNvSpPr>
          <a:spLocks/>
        </xdr:cNvSpPr>
      </xdr:nvSpPr>
      <xdr:spPr>
        <a:xfrm>
          <a:off x="3724275" y="8181975"/>
          <a:ext cx="1476375" cy="1447800"/>
        </a:xfrm>
        <a:prstGeom prst="rect"/>
        <a:noFill/>
      </xdr:spPr>
      <xdr:txBody>
        <a:bodyPr fromWordArt="1" wrap="none">
          <a:prstTxWarp prst="textSlantUp"/>
        </a:bodyPr>
        <a:p>
          <a:pPr algn="ctr"/>
          <a:r>
            <a:rPr sz="3600" kern="10" spc="0">
              <a:ln w="9525" cmpd="sng">
                <a:solidFill>
                  <a:srgbClr val="000000"/>
                </a:solidFill>
                <a:headEnd type="none"/>
                <a:tailEnd type="none"/>
              </a:ln>
              <a:solidFill>
                <a:srgbClr val="000000"/>
              </a:solidFill>
              <a:latin typeface="Algerian"/>
              <a:cs typeface="Algerian"/>
            </a:rPr>
            <a:t>DRAFT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2Q03\FLUX%20ANALYSI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greatplains6\home\FinancialDept\FINSTATE\2001\4q2001\CODIFIE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greatplains6\home\HICKSP\EXCEL\2001\4q01\01AuditorRepor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greatplains6\home\HICKSP\EXCEL\2001\4q01\04Q01FSR.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greatplains6\home\FinancialDept\FINSTATE\2002\FLUX%20ANALYSISI.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2\3Q02\FINANCIAL%20STATEMENTS%2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LUX%20ANALYSI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3Q03\FINANCIAL%20STATEMENT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3Q03\FINANCIAL%20STATE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6-30-03 (Pre)"/>
      <sheetName val="TB06-30-03(Final)"/>
      <sheetName val="(1)IBNR Cal-p13"/>
      <sheetName val="IBNR JE2"/>
      <sheetName val="(3)Cal. UPLR-p14"/>
      <sheetName val="ALAE &amp; ULAE JE3"/>
      <sheetName val="(2)Loss Exp Factor-p15"/>
      <sheetName val="(1)LEP-QTD-p16JE5"/>
      <sheetName val="(1)LEP-YTD-p16JE5 (2)"/>
      <sheetName val="(1)ULEP-YTD-p17"/>
      <sheetName val="UPR-JE1"/>
    </sheetNames>
    <sheetDataSet>
      <sheetData sheetId="0">
        <row r="928">
          <cell r="F928">
            <v>-3317.16</v>
          </cell>
        </row>
      </sheetData>
      <sheetData sheetId="1">
        <row r="16">
          <cell r="G16">
            <v>-1914907.0000000002</v>
          </cell>
        </row>
        <row r="23">
          <cell r="G23">
            <v>9730624.66</v>
          </cell>
        </row>
        <row r="24">
          <cell r="F24">
            <v>11315.82</v>
          </cell>
        </row>
        <row r="36">
          <cell r="G36">
            <v>2971.29</v>
          </cell>
        </row>
        <row r="41">
          <cell r="F41">
            <v>89129.38</v>
          </cell>
        </row>
        <row r="42">
          <cell r="F42">
            <v>-29878.02</v>
          </cell>
        </row>
        <row r="115">
          <cell r="G115">
            <v>-5697722.210000001</v>
          </cell>
        </row>
        <row r="179">
          <cell r="G179">
            <v>-474063.79</v>
          </cell>
        </row>
        <row r="181">
          <cell r="F181">
            <v>-22966</v>
          </cell>
        </row>
        <row r="185">
          <cell r="F185">
            <v>-4995.76</v>
          </cell>
        </row>
        <row r="186">
          <cell r="F186">
            <v>-28280.339999999997</v>
          </cell>
        </row>
        <row r="247">
          <cell r="G247">
            <v>-356948</v>
          </cell>
        </row>
        <row r="248">
          <cell r="F248">
            <v>-59861.75</v>
          </cell>
        </row>
        <row r="250">
          <cell r="F250">
            <v>-208689.78</v>
          </cell>
        </row>
        <row r="252">
          <cell r="F252">
            <v>112683.48</v>
          </cell>
        </row>
        <row r="258">
          <cell r="F258">
            <v>-65397.19</v>
          </cell>
        </row>
        <row r="259">
          <cell r="G259">
            <v>45615566.39</v>
          </cell>
        </row>
        <row r="297">
          <cell r="E297">
            <v>-5491248</v>
          </cell>
          <cell r="G297">
            <v>-10221860</v>
          </cell>
        </row>
        <row r="314">
          <cell r="G314">
            <v>1146561</v>
          </cell>
        </row>
        <row r="315">
          <cell r="E315">
            <v>-4659146</v>
          </cell>
          <cell r="G315">
            <v>-9075299</v>
          </cell>
        </row>
        <row r="323">
          <cell r="G323">
            <v>-62436.520000000004</v>
          </cell>
        </row>
        <row r="332">
          <cell r="E332">
            <v>-29841.62</v>
          </cell>
          <cell r="G332">
            <v>-61536.52</v>
          </cell>
        </row>
        <row r="336">
          <cell r="F336">
            <v>0</v>
          </cell>
        </row>
        <row r="337">
          <cell r="F337">
            <v>0</v>
          </cell>
        </row>
        <row r="338">
          <cell r="F338">
            <v>-9375</v>
          </cell>
        </row>
        <row r="339">
          <cell r="F339">
            <v>0</v>
          </cell>
        </row>
        <row r="340">
          <cell r="F340">
            <v>51024.15</v>
          </cell>
        </row>
        <row r="341">
          <cell r="F341">
            <v>480103.75</v>
          </cell>
        </row>
        <row r="342">
          <cell r="F342">
            <v>5660240</v>
          </cell>
        </row>
        <row r="343">
          <cell r="F343">
            <v>221805.4</v>
          </cell>
        </row>
        <row r="344">
          <cell r="F344">
            <v>0</v>
          </cell>
        </row>
        <row r="345">
          <cell r="F345">
            <v>1957</v>
          </cell>
        </row>
        <row r="346">
          <cell r="F346">
            <v>0</v>
          </cell>
        </row>
        <row r="347">
          <cell r="F347">
            <v>8309.83</v>
          </cell>
        </row>
        <row r="348">
          <cell r="F348">
            <v>80028.37</v>
          </cell>
        </row>
        <row r="349">
          <cell r="D349">
            <v>218437.34</v>
          </cell>
        </row>
        <row r="350">
          <cell r="F350">
            <v>49292.74</v>
          </cell>
        </row>
        <row r="352">
          <cell r="F352">
            <v>0</v>
          </cell>
        </row>
        <row r="353">
          <cell r="F353">
            <v>0</v>
          </cell>
        </row>
        <row r="354">
          <cell r="F354">
            <v>0</v>
          </cell>
        </row>
        <row r="355">
          <cell r="F355">
            <v>8390.38</v>
          </cell>
        </row>
        <row r="367">
          <cell r="G367">
            <v>-19236.47</v>
          </cell>
        </row>
        <row r="372">
          <cell r="G372">
            <v>-116.54</v>
          </cell>
        </row>
        <row r="374">
          <cell r="F374">
            <v>-18128.29</v>
          </cell>
        </row>
        <row r="375">
          <cell r="F375">
            <v>-3368.92</v>
          </cell>
        </row>
        <row r="376">
          <cell r="G376">
            <v>-53668.880000000005</v>
          </cell>
        </row>
        <row r="379">
          <cell r="E379">
            <v>3815692.150000001</v>
          </cell>
        </row>
        <row r="429">
          <cell r="G429">
            <v>110245.51999999986</v>
          </cell>
        </row>
        <row r="431">
          <cell r="E431">
            <v>2160529.7000000007</v>
          </cell>
          <cell r="G431">
            <v>7074225.810000002</v>
          </cell>
        </row>
        <row r="455">
          <cell r="G455">
            <v>571547.5499999999</v>
          </cell>
        </row>
        <row r="477">
          <cell r="G477">
            <v>-510.530000000017</v>
          </cell>
        </row>
        <row r="497">
          <cell r="G497">
            <v>241058.48999999996</v>
          </cell>
        </row>
        <row r="517">
          <cell r="G517">
            <v>-262.9200000000019</v>
          </cell>
        </row>
        <row r="518">
          <cell r="E518">
            <v>216153.58000000007</v>
          </cell>
          <cell r="G518">
            <v>811832.5899999997</v>
          </cell>
        </row>
        <row r="564">
          <cell r="G564">
            <v>918359.2999999999</v>
          </cell>
        </row>
        <row r="576">
          <cell r="G576">
            <v>57630</v>
          </cell>
        </row>
        <row r="581">
          <cell r="E581">
            <v>624643.7999999999</v>
          </cell>
          <cell r="G581">
            <v>1164365.98</v>
          </cell>
        </row>
        <row r="929">
          <cell r="F929">
            <v>-120.73000000000002</v>
          </cell>
        </row>
        <row r="932">
          <cell r="F932">
            <v>-6995.7</v>
          </cell>
        </row>
        <row r="938">
          <cell r="E938">
            <v>972573.2000000009</v>
          </cell>
          <cell r="G938">
            <v>1889942.2299999997</v>
          </cell>
        </row>
        <row r="949">
          <cell r="G949">
            <v>-1803531.0900000038</v>
          </cell>
        </row>
      </sheetData>
      <sheetData sheetId="2">
        <row r="8">
          <cell r="E8">
            <v>88329.03</v>
          </cell>
        </row>
        <row r="9">
          <cell r="E9">
            <v>368.82</v>
          </cell>
        </row>
        <row r="10">
          <cell r="E10">
            <v>0</v>
          </cell>
        </row>
        <row r="14">
          <cell r="E14">
            <v>82022</v>
          </cell>
        </row>
        <row r="15">
          <cell r="E15">
            <v>7</v>
          </cell>
        </row>
        <row r="16">
          <cell r="E16">
            <v>0</v>
          </cell>
        </row>
        <row r="20">
          <cell r="E20">
            <v>106032.46</v>
          </cell>
        </row>
        <row r="21">
          <cell r="E21">
            <v>19521.36</v>
          </cell>
        </row>
        <row r="22">
          <cell r="E22">
            <v>0</v>
          </cell>
        </row>
        <row r="26">
          <cell r="D26">
            <v>2807761.84</v>
          </cell>
          <cell r="E26">
            <v>3297459.7516644</v>
          </cell>
        </row>
        <row r="27">
          <cell r="D27">
            <v>227947</v>
          </cell>
          <cell r="E27">
            <v>405480.2822427551</v>
          </cell>
        </row>
        <row r="28">
          <cell r="D28">
            <v>0</v>
          </cell>
          <cell r="E28">
            <v>3082.743594085453</v>
          </cell>
        </row>
        <row r="40">
          <cell r="E40">
            <v>5697722.205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ighlights (pg 1)"/>
      <sheetName val="Balance (pg 2)"/>
      <sheetName val="Income (pg 3) "/>
      <sheetName val="Ratio QTR (pg 4)"/>
      <sheetName val="Ratio YTD (pg 5)"/>
      <sheetName val="Comp Ratio QTR (pg 6)"/>
      <sheetName val="Comp Ratio YTD (pg 7)"/>
      <sheetName val="WP ALL QTD (pg 8)"/>
      <sheetName val="Written Premium (pg 9)"/>
      <sheetName val="Policies Issued (pg 10) "/>
      <sheetName val="Inforce Premium (pg 11)"/>
      <sheetName val="Inforce Polices 99-00 (pg 12)"/>
      <sheetName val="Inforce Policies (pg 13) "/>
      <sheetName val="Inforce-trends (pg 14)"/>
    </sheetNames>
    <sheetDataSet>
      <sheetData sheetId="0">
        <row r="10">
          <cell r="B10">
            <v>4280821</v>
          </cell>
          <cell r="F10">
            <v>16190670</v>
          </cell>
        </row>
        <row r="12">
          <cell r="B12">
            <v>4133399</v>
          </cell>
          <cell r="F12">
            <v>16708714</v>
          </cell>
        </row>
        <row r="14">
          <cell r="B14">
            <v>2779701.7999999993</v>
          </cell>
          <cell r="F14">
            <v>14011900.985</v>
          </cell>
        </row>
        <row r="16">
          <cell r="B16">
            <v>359851.97759499995</v>
          </cell>
          <cell r="F16">
            <v>1458256.25543</v>
          </cell>
        </row>
        <row r="18">
          <cell r="B18">
            <v>1236377.2000000002</v>
          </cell>
          <cell r="F18">
            <v>5361056.619999999</v>
          </cell>
        </row>
        <row r="22">
          <cell r="B22">
            <v>51020.619999999995</v>
          </cell>
          <cell r="F22">
            <v>406576.29999999993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B12-31-01(A)"/>
      <sheetName val="Admitted2"/>
      <sheetName val="Operations3"/>
      <sheetName val="CashFlow4"/>
      <sheetName val="InvestInterest5-6"/>
      <sheetName val="InvestExp7"/>
      <sheetName val="CFWorkSheet"/>
    </sheetNames>
    <sheetDataSet>
      <sheetData sheetId="0">
        <row r="16">
          <cell r="G16">
            <v>-1824312.25</v>
          </cell>
        </row>
        <row r="22">
          <cell r="G22">
            <v>14016147.71</v>
          </cell>
        </row>
        <row r="25">
          <cell r="G25">
            <v>10919.7</v>
          </cell>
        </row>
        <row r="33">
          <cell r="G33">
            <v>11390.23</v>
          </cell>
        </row>
        <row r="53">
          <cell r="G53">
            <v>46619.55000000002</v>
          </cell>
        </row>
        <row r="66">
          <cell r="G66">
            <v>-8315559</v>
          </cell>
        </row>
        <row r="111">
          <cell r="G111">
            <v>-6146418.700000001</v>
          </cell>
        </row>
        <row r="167">
          <cell r="G167">
            <v>-556689.1599999999</v>
          </cell>
        </row>
        <row r="170">
          <cell r="G170">
            <v>-44400</v>
          </cell>
        </row>
        <row r="173">
          <cell r="F173">
            <v>0</v>
          </cell>
        </row>
        <row r="187">
          <cell r="G187">
            <v>-486308.19</v>
          </cell>
        </row>
        <row r="200">
          <cell r="G200">
            <v>-990744.0999999999</v>
          </cell>
        </row>
        <row r="220">
          <cell r="G220">
            <v>-3410.26</v>
          </cell>
        </row>
        <row r="222">
          <cell r="G222">
            <v>-619959</v>
          </cell>
        </row>
        <row r="229">
          <cell r="G229">
            <v>-240240</v>
          </cell>
        </row>
        <row r="231">
          <cell r="F231">
            <v>-23699.49</v>
          </cell>
        </row>
        <row r="233">
          <cell r="F233">
            <v>-92796.26</v>
          </cell>
        </row>
        <row r="234">
          <cell r="F234">
            <v>-7416.9</v>
          </cell>
        </row>
        <row r="235">
          <cell r="F235">
            <v>49696.74</v>
          </cell>
        </row>
        <row r="241">
          <cell r="F241">
            <v>63918.22</v>
          </cell>
        </row>
        <row r="242">
          <cell r="G242">
            <v>46506631.81</v>
          </cell>
        </row>
        <row r="249">
          <cell r="G249">
            <v>-7701250</v>
          </cell>
        </row>
        <row r="254">
          <cell r="G254">
            <v>-1218299.3599999999</v>
          </cell>
        </row>
        <row r="255">
          <cell r="F255">
            <v>-36085826.63</v>
          </cell>
        </row>
      </sheetData>
      <sheetData sheetId="2">
        <row r="42">
          <cell r="G42">
            <v>-5217178.944170429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B12-31-01 (B)"/>
      <sheetName val="TB12-31-01(A)"/>
      <sheetName val="(11) Balance Sheet"/>
      <sheetName val="(10)Income Statement"/>
      <sheetName val="(9)Equity QTR-p3"/>
      <sheetName val="(9)Equity YTD-p4"/>
      <sheetName val="(8)Earned Incurred QTD-p5"/>
      <sheetName val="(8)Earned Incurred YTD-p6"/>
      <sheetName val="(7)Premiums QTD-p7"/>
      <sheetName val="(7)Premiums YTD-p8"/>
      <sheetName val="(6)Losses Incurred QTR-p9"/>
      <sheetName val="(6)Losses Incurred YTD-p10"/>
      <sheetName val="(5)Loss Expenses QTR-p11"/>
      <sheetName val="(4)Loss Expenses YTD-p12"/>
      <sheetName val="(4)IBNR Reserve-p13"/>
      <sheetName val="(3)Cal. UPLR-p14B"/>
      <sheetName val="ALAE &amp; ULAE (4-5)"/>
      <sheetName val="(2)Loss Exp Factor-p15"/>
      <sheetName val="(1)LEP-QTD-p16JE5"/>
      <sheetName val="(1)LEP-QTD-p16JE5 (2)"/>
      <sheetName val="(1)Loss Exp Paid YTD-p17"/>
      <sheetName val="Pg17Calc"/>
      <sheetName val="IBNR JE2"/>
      <sheetName val="UPR-JE1"/>
      <sheetName val="PostRetireJE"/>
      <sheetName val="CommExp"/>
      <sheetName val="Advance-JE3"/>
      <sheetName val="Ahighlights1"/>
      <sheetName val="ABalance2"/>
      <sheetName val="AIncome3"/>
      <sheetName val="bs - fx QTR"/>
      <sheetName val="bs-fx YTD"/>
      <sheetName val="inc-fx YTD"/>
      <sheetName val="inc - fx QTR"/>
      <sheetName val="Loss-QTR"/>
      <sheetName val="Loss-YTD"/>
      <sheetName val="compare"/>
      <sheetName val="WP-Total"/>
      <sheetName val="WP-LOB"/>
      <sheetName val="WP-All"/>
      <sheetName val="POL-LOB"/>
      <sheetName val="IFP-LOB"/>
      <sheetName val="Sheet1"/>
      <sheetName val="IFP-3YR"/>
    </sheetNames>
    <sheetDataSet>
      <sheetData sheetId="3">
        <row r="37">
          <cell r="E37">
            <v>-5217176.914600432</v>
          </cell>
        </row>
      </sheetData>
      <sheetData sheetId="5">
        <row r="9">
          <cell r="I9">
            <v>41000</v>
          </cell>
        </row>
        <row r="10">
          <cell r="H10">
            <v>422680.17999999993</v>
          </cell>
        </row>
        <row r="14">
          <cell r="H14">
            <v>15870023.739999998</v>
          </cell>
        </row>
        <row r="15">
          <cell r="H15">
            <v>1253988.2300000002</v>
          </cell>
        </row>
        <row r="16">
          <cell r="H16">
            <v>403619.69</v>
          </cell>
        </row>
        <row r="17">
          <cell r="H17">
            <v>54791.7</v>
          </cell>
        </row>
        <row r="18">
          <cell r="H18">
            <v>234845.53</v>
          </cell>
        </row>
        <row r="19">
          <cell r="H19">
            <v>1497487.5500000003</v>
          </cell>
        </row>
        <row r="20">
          <cell r="H20">
            <v>15000</v>
          </cell>
        </row>
        <row r="21">
          <cell r="H21">
            <v>3501080.9799999986</v>
          </cell>
        </row>
        <row r="22">
          <cell r="H22">
            <v>45262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B09-30-02 (Pre)"/>
      <sheetName val="TB09-30-02(Final)"/>
      <sheetName val="IBNR Cal-p13"/>
      <sheetName val="Cal. UPLR-p14"/>
      <sheetName val="Loss Exp Factor-p15"/>
      <sheetName val="LEP-QTD-p16"/>
      <sheetName val="LEP-YTD-p17"/>
      <sheetName val="bs - fx YTD"/>
      <sheetName val="bs-fx QTD"/>
      <sheetName val="inc-fx QTD"/>
      <sheetName val="inc - fx YTD"/>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R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1">
        <row r="12">
          <cell r="C12">
            <v>4336172</v>
          </cell>
        </row>
        <row r="15">
          <cell r="B15">
            <v>3666364.3599999994</v>
          </cell>
        </row>
        <row r="16">
          <cell r="B16">
            <v>411228.76</v>
          </cell>
        </row>
        <row r="17">
          <cell r="B17">
            <v>404349.55000000005</v>
          </cell>
        </row>
        <row r="18">
          <cell r="B18">
            <v>859175.9900000002</v>
          </cell>
        </row>
        <row r="19">
          <cell r="B19">
            <v>11580</v>
          </cell>
        </row>
        <row r="25">
          <cell r="C25">
            <v>52310.600000000006</v>
          </cell>
        </row>
        <row r="30">
          <cell r="C30">
            <v>-7427828.95</v>
          </cell>
        </row>
        <row r="32">
          <cell r="B32">
            <v>16655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BNR Calculation-p13"/>
      <sheetName val="Calculate Unpaid Losses-p14"/>
      <sheetName val="Loss Exp Factor-p15"/>
      <sheetName val="Loss Expenses Paid QTD-p16"/>
      <sheetName val="Loss Expenses Paid YTD-p17"/>
      <sheetName val="Trial Balance"/>
    </sheetNames>
    <sheetDataSet>
      <sheetData sheetId="0">
        <row r="9">
          <cell r="E9">
            <v>25029</v>
          </cell>
        </row>
        <row r="10">
          <cell r="E10">
            <v>6</v>
          </cell>
        </row>
        <row r="11">
          <cell r="E11">
            <v>0</v>
          </cell>
        </row>
        <row r="16">
          <cell r="E16">
            <v>133700</v>
          </cell>
        </row>
        <row r="17">
          <cell r="E17">
            <v>2</v>
          </cell>
        </row>
        <row r="18">
          <cell r="E18">
            <v>0</v>
          </cell>
        </row>
        <row r="23">
          <cell r="E23">
            <v>86017</v>
          </cell>
        </row>
        <row r="24">
          <cell r="E24">
            <v>8506</v>
          </cell>
        </row>
        <row r="25">
          <cell r="E25">
            <v>0</v>
          </cell>
        </row>
        <row r="30">
          <cell r="C30">
            <v>0</v>
          </cell>
          <cell r="E30">
            <v>1825586.84</v>
          </cell>
        </row>
        <row r="31">
          <cell r="C31">
            <v>0</v>
          </cell>
          <cell r="E31">
            <v>152921.92</v>
          </cell>
        </row>
        <row r="32">
          <cell r="C32">
            <v>0</v>
          </cell>
          <cell r="E32">
            <v>0</v>
          </cell>
        </row>
        <row r="36">
          <cell r="C36">
            <v>1188488.91</v>
          </cell>
          <cell r="E36">
            <v>3855158.91</v>
          </cell>
        </row>
        <row r="37">
          <cell r="C37">
            <v>386066.32</v>
          </cell>
          <cell r="E37">
            <v>1125651.02</v>
          </cell>
        </row>
        <row r="38">
          <cell r="C38">
            <v>5467.07</v>
          </cell>
          <cell r="E38">
            <v>27967.07</v>
          </cell>
        </row>
      </sheetData>
      <sheetData sheetId="1">
        <row r="30">
          <cell r="B30">
            <v>337867.09</v>
          </cell>
          <cell r="C30">
            <v>231301.85</v>
          </cell>
          <cell r="D30">
            <v>10898.35</v>
          </cell>
          <cell r="E30">
            <v>16939.79</v>
          </cell>
          <cell r="F30">
            <v>3171.1700000000005</v>
          </cell>
        </row>
        <row r="31">
          <cell r="B31">
            <v>93705.38</v>
          </cell>
          <cell r="C31">
            <v>19375.21</v>
          </cell>
          <cell r="D31">
            <v>1078.7199999999998</v>
          </cell>
        </row>
        <row r="32">
          <cell r="B32">
            <v>2850.76</v>
          </cell>
          <cell r="C32">
            <v>0</v>
          </cell>
          <cell r="D32">
            <v>0</v>
          </cell>
          <cell r="E32">
            <v>0</v>
          </cell>
          <cell r="F32">
            <v>0</v>
          </cell>
        </row>
      </sheetData>
      <sheetData sheetId="3">
        <row r="10">
          <cell r="E10">
            <v>0</v>
          </cell>
          <cell r="K10">
            <v>3937.84</v>
          </cell>
        </row>
        <row r="11">
          <cell r="E11">
            <v>0</v>
          </cell>
          <cell r="K11">
            <v>0</v>
          </cell>
        </row>
        <row r="12">
          <cell r="E12">
            <v>0</v>
          </cell>
          <cell r="K12">
            <v>0</v>
          </cell>
        </row>
        <row r="13">
          <cell r="C13">
            <v>3937.84</v>
          </cell>
          <cell r="I13">
            <v>0</v>
          </cell>
        </row>
        <row r="16">
          <cell r="E16">
            <v>3500</v>
          </cell>
          <cell r="K16">
            <v>1635.1100000000001</v>
          </cell>
        </row>
        <row r="17">
          <cell r="E17">
            <v>0</v>
          </cell>
          <cell r="K17">
            <v>0</v>
          </cell>
        </row>
        <row r="18">
          <cell r="E18">
            <v>0</v>
          </cell>
          <cell r="K18">
            <v>0</v>
          </cell>
        </row>
        <row r="19">
          <cell r="C19">
            <v>1458.48</v>
          </cell>
          <cell r="I19">
            <v>176.63</v>
          </cell>
        </row>
        <row r="22">
          <cell r="E22">
            <v>8219.27</v>
          </cell>
          <cell r="K22">
            <v>7125.67</v>
          </cell>
        </row>
        <row r="23">
          <cell r="E23">
            <v>12844.43</v>
          </cell>
          <cell r="K23">
            <v>5967.209999999999</v>
          </cell>
        </row>
        <row r="24">
          <cell r="E24">
            <v>0</v>
          </cell>
          <cell r="K24">
            <v>0</v>
          </cell>
        </row>
        <row r="25">
          <cell r="C25">
            <v>12029.84</v>
          </cell>
          <cell r="I25">
            <v>1063.04</v>
          </cell>
        </row>
        <row r="28">
          <cell r="E28">
            <v>1125655.76</v>
          </cell>
          <cell r="K28">
            <v>106514.22</v>
          </cell>
        </row>
        <row r="29">
          <cell r="E29">
            <v>198748.78</v>
          </cell>
          <cell r="K29">
            <v>58021.23</v>
          </cell>
        </row>
        <row r="30">
          <cell r="E30">
            <v>0</v>
          </cell>
          <cell r="K30">
            <v>0</v>
          </cell>
        </row>
        <row r="31">
          <cell r="C31">
            <v>97696.03</v>
          </cell>
          <cell r="I31">
            <v>66839.42</v>
          </cell>
        </row>
        <row r="34">
          <cell r="E34">
            <v>1057666.06</v>
          </cell>
          <cell r="K34">
            <v>113776.01000000001</v>
          </cell>
        </row>
        <row r="35">
          <cell r="E35">
            <v>427178.95</v>
          </cell>
          <cell r="K35">
            <v>119818.8</v>
          </cell>
        </row>
        <row r="36">
          <cell r="E36">
            <v>2500</v>
          </cell>
          <cell r="K36">
            <v>126.17</v>
          </cell>
        </row>
        <row r="37">
          <cell r="C37">
            <v>158658.37</v>
          </cell>
          <cell r="I37">
            <v>75062.61</v>
          </cell>
        </row>
        <row r="43">
          <cell r="C43">
            <v>273780.56</v>
          </cell>
          <cell r="E43">
            <v>2836313.25</v>
          </cell>
          <cell r="I43">
            <v>143141.7</v>
          </cell>
        </row>
      </sheetData>
      <sheetData sheetId="4">
        <row r="10">
          <cell r="E10">
            <v>-7875</v>
          </cell>
          <cell r="K10">
            <v>26235.949999999997</v>
          </cell>
        </row>
        <row r="11">
          <cell r="E11">
            <v>1957</v>
          </cell>
          <cell r="K11">
            <v>2209.7799999999997</v>
          </cell>
        </row>
        <row r="12">
          <cell r="E12">
            <v>0</v>
          </cell>
          <cell r="K12">
            <v>0</v>
          </cell>
        </row>
        <row r="13">
          <cell r="C13">
            <v>28658.149999999998</v>
          </cell>
          <cell r="I13">
            <v>-212.42000000000002</v>
          </cell>
        </row>
        <row r="16">
          <cell r="E16">
            <v>55524.15</v>
          </cell>
          <cell r="K16">
            <v>8250.83</v>
          </cell>
        </row>
        <row r="17">
          <cell r="E17">
            <v>8309.83</v>
          </cell>
          <cell r="K17">
            <v>4585.02</v>
          </cell>
        </row>
        <row r="18">
          <cell r="E18">
            <v>0</v>
          </cell>
          <cell r="K18">
            <v>0</v>
          </cell>
        </row>
        <row r="19">
          <cell r="C19">
            <v>10645.67</v>
          </cell>
          <cell r="I19">
            <v>2190.18</v>
          </cell>
        </row>
        <row r="22">
          <cell r="E22">
            <v>488323.02</v>
          </cell>
          <cell r="K22">
            <v>74510.18000000001</v>
          </cell>
        </row>
        <row r="23">
          <cell r="E23">
            <v>96267.8</v>
          </cell>
          <cell r="K23">
            <v>40119.619999999995</v>
          </cell>
        </row>
        <row r="24">
          <cell r="E24">
            <v>0</v>
          </cell>
          <cell r="K24">
            <v>0</v>
          </cell>
        </row>
        <row r="25">
          <cell r="C25">
            <v>93007.70999999999</v>
          </cell>
          <cell r="I25">
            <v>21622.09</v>
          </cell>
        </row>
        <row r="28">
          <cell r="E28">
            <v>8648447</v>
          </cell>
          <cell r="K28">
            <v>732367.33</v>
          </cell>
        </row>
        <row r="29">
          <cell r="E29">
            <v>811091.23</v>
          </cell>
          <cell r="K29">
            <v>316767.49</v>
          </cell>
        </row>
        <row r="30">
          <cell r="E30">
            <v>8390.38</v>
          </cell>
          <cell r="K30">
            <v>1850.9</v>
          </cell>
        </row>
        <row r="31">
          <cell r="C31">
            <v>686153.1099999999</v>
          </cell>
          <cell r="I31">
            <v>364832.61</v>
          </cell>
        </row>
        <row r="34">
          <cell r="E34">
            <v>1680160.99</v>
          </cell>
          <cell r="K34">
            <v>178985.61</v>
          </cell>
        </row>
        <row r="35">
          <cell r="E35">
            <v>606102.33</v>
          </cell>
          <cell r="K35">
            <v>184789.1</v>
          </cell>
        </row>
        <row r="36">
          <cell r="E36">
            <v>2500</v>
          </cell>
          <cell r="K36">
            <v>126.17</v>
          </cell>
        </row>
        <row r="37">
          <cell r="C37">
            <v>256945.95</v>
          </cell>
          <cell r="I37">
            <v>106954.93</v>
          </cell>
        </row>
        <row r="43">
          <cell r="C43">
            <v>1075410.5899999999</v>
          </cell>
          <cell r="E43">
            <v>12399198.73</v>
          </cell>
          <cell r="I43">
            <v>495387.38999999996</v>
          </cell>
        </row>
      </sheetData>
      <sheetData sheetId="5">
        <row r="11">
          <cell r="F11">
            <v>-1796078.3699999999</v>
          </cell>
        </row>
        <row r="17">
          <cell r="F17">
            <v>11475652.139999999</v>
          </cell>
        </row>
        <row r="19">
          <cell r="F19">
            <v>8748.01</v>
          </cell>
        </row>
        <row r="23">
          <cell r="F23">
            <v>2971.29</v>
          </cell>
        </row>
        <row r="30">
          <cell r="F30">
            <v>58814.899999999994</v>
          </cell>
        </row>
        <row r="35">
          <cell r="E35">
            <v>-8106000</v>
          </cell>
        </row>
        <row r="37">
          <cell r="E37">
            <v>-2607627</v>
          </cell>
        </row>
        <row r="39">
          <cell r="E39">
            <v>-35860</v>
          </cell>
          <cell r="F39">
            <v>-10749487</v>
          </cell>
        </row>
        <row r="61">
          <cell r="F61">
            <v>-5660523.46</v>
          </cell>
        </row>
        <row r="68">
          <cell r="F68">
            <v>-1580022.3</v>
          </cell>
        </row>
        <row r="97">
          <cell r="F97">
            <v>-490767.38</v>
          </cell>
        </row>
        <row r="123">
          <cell r="F123">
            <v>-226420.94</v>
          </cell>
        </row>
        <row r="127">
          <cell r="F127">
            <v>-50784.57</v>
          </cell>
        </row>
        <row r="129">
          <cell r="F129">
            <v>-10350</v>
          </cell>
        </row>
        <row r="132">
          <cell r="F132">
            <v>-7976.45</v>
          </cell>
        </row>
        <row r="134">
          <cell r="F134">
            <v>-35326.68</v>
          </cell>
        </row>
        <row r="144">
          <cell r="F144">
            <v>-293447.56</v>
          </cell>
        </row>
        <row r="153">
          <cell r="F153">
            <v>-267776.8</v>
          </cell>
        </row>
        <row r="170">
          <cell r="F170">
            <v>-4334.94</v>
          </cell>
        </row>
        <row r="172">
          <cell r="F172">
            <v>-1218951</v>
          </cell>
        </row>
        <row r="174">
          <cell r="F174">
            <v>-504070</v>
          </cell>
        </row>
        <row r="181">
          <cell r="F181">
            <v>-257982</v>
          </cell>
        </row>
        <row r="185">
          <cell r="F185">
            <v>-316945.26</v>
          </cell>
        </row>
        <row r="202">
          <cell r="C202">
            <v>0</v>
          </cell>
          <cell r="E202">
            <v>-98</v>
          </cell>
        </row>
        <row r="203">
          <cell r="C203">
            <v>357</v>
          </cell>
          <cell r="E203">
            <v>3452</v>
          </cell>
        </row>
        <row r="204">
          <cell r="C204">
            <v>14493</v>
          </cell>
          <cell r="E204">
            <v>95467</v>
          </cell>
        </row>
        <row r="205">
          <cell r="C205">
            <v>-4113704</v>
          </cell>
          <cell r="E205">
            <v>-16003666</v>
          </cell>
        </row>
        <row r="207">
          <cell r="C207">
            <v>0</v>
          </cell>
          <cell r="E207">
            <v>10</v>
          </cell>
        </row>
        <row r="208">
          <cell r="C208">
            <v>129</v>
          </cell>
          <cell r="E208">
            <v>1591</v>
          </cell>
        </row>
        <row r="209">
          <cell r="C209">
            <v>4109</v>
          </cell>
          <cell r="E209">
            <v>30185</v>
          </cell>
        </row>
        <row r="210">
          <cell r="C210">
            <v>-1274894</v>
          </cell>
          <cell r="E210">
            <v>-5201534</v>
          </cell>
        </row>
        <row r="212">
          <cell r="C212">
            <v>152</v>
          </cell>
          <cell r="E212">
            <v>909</v>
          </cell>
        </row>
        <row r="213">
          <cell r="C213">
            <v>-16094</v>
          </cell>
          <cell r="E213">
            <v>-73881</v>
          </cell>
        </row>
        <row r="240">
          <cell r="D240">
            <v>-28772.689999999995</v>
          </cell>
          <cell r="F240">
            <v>-117168.35999999999</v>
          </cell>
        </row>
        <row r="256">
          <cell r="E256">
            <v>-10.38</v>
          </cell>
        </row>
        <row r="257">
          <cell r="C257">
            <v>-150</v>
          </cell>
          <cell r="E257">
            <v>-1947.75</v>
          </cell>
        </row>
        <row r="258">
          <cell r="E258">
            <v>-70000</v>
          </cell>
        </row>
        <row r="259">
          <cell r="E259">
            <v>-10000</v>
          </cell>
        </row>
        <row r="260">
          <cell r="E260">
            <v>-8278.34</v>
          </cell>
        </row>
        <row r="261">
          <cell r="E261">
            <v>-4302.05</v>
          </cell>
        </row>
        <row r="262">
          <cell r="E262">
            <v>-3080.05</v>
          </cell>
        </row>
        <row r="263">
          <cell r="E263">
            <v>-7226.61</v>
          </cell>
        </row>
        <row r="264">
          <cell r="C264">
            <v>-47.94</v>
          </cell>
          <cell r="E264">
            <v>-225.58</v>
          </cell>
        </row>
        <row r="265">
          <cell r="E265">
            <v>-18128.29</v>
          </cell>
        </row>
        <row r="266">
          <cell r="C266">
            <v>-1849.55</v>
          </cell>
          <cell r="D266">
            <v>-2047.49</v>
          </cell>
          <cell r="E266">
            <v>-5218.47</v>
          </cell>
          <cell r="F266">
            <v>-128417.52000000002</v>
          </cell>
        </row>
        <row r="367">
          <cell r="C367">
            <v>0</v>
          </cell>
        </row>
        <row r="368">
          <cell r="C368">
            <v>-35.7</v>
          </cell>
          <cell r="E368">
            <v>-345.2</v>
          </cell>
        </row>
        <row r="369">
          <cell r="C369">
            <v>-1449.3</v>
          </cell>
          <cell r="E369">
            <v>-9546.7</v>
          </cell>
        </row>
        <row r="370">
          <cell r="C370">
            <v>401650.7</v>
          </cell>
          <cell r="E370">
            <v>1596084.4</v>
          </cell>
        </row>
        <row r="372">
          <cell r="C372">
            <v>0</v>
          </cell>
        </row>
        <row r="373">
          <cell r="C373">
            <v>-12.9</v>
          </cell>
          <cell r="E373">
            <v>-159.1</v>
          </cell>
        </row>
        <row r="374">
          <cell r="C374">
            <v>-410.9</v>
          </cell>
          <cell r="E374">
            <v>-3018.5</v>
          </cell>
        </row>
        <row r="375">
          <cell r="C375">
            <v>122864.4</v>
          </cell>
          <cell r="E375">
            <v>517903.4</v>
          </cell>
        </row>
        <row r="377">
          <cell r="C377">
            <v>-14.75</v>
          </cell>
          <cell r="E377">
            <v>-93.35</v>
          </cell>
        </row>
        <row r="378">
          <cell r="C378">
            <v>1691.7</v>
          </cell>
          <cell r="E378">
            <v>7828.35</v>
          </cell>
        </row>
        <row r="381">
          <cell r="C381">
            <v>35.7</v>
          </cell>
          <cell r="E381">
            <v>35.7</v>
          </cell>
        </row>
        <row r="382">
          <cell r="C382">
            <v>79.9</v>
          </cell>
          <cell r="E382">
            <v>1120</v>
          </cell>
        </row>
        <row r="383">
          <cell r="C383">
            <v>-44460.9</v>
          </cell>
          <cell r="E383">
            <v>-175940.6</v>
          </cell>
        </row>
        <row r="385">
          <cell r="C385">
            <v>12.9</v>
          </cell>
          <cell r="E385">
            <v>12.9</v>
          </cell>
        </row>
        <row r="386">
          <cell r="C386">
            <v>-1.4</v>
          </cell>
          <cell r="E386">
            <v>152.4</v>
          </cell>
        </row>
        <row r="387">
          <cell r="C387">
            <v>-10197.900000000001</v>
          </cell>
          <cell r="E387">
            <v>-42633.1</v>
          </cell>
        </row>
        <row r="389">
          <cell r="C389">
            <v>9.95</v>
          </cell>
          <cell r="E389">
            <v>16.55</v>
          </cell>
        </row>
        <row r="390">
          <cell r="C390">
            <v>-107.4</v>
          </cell>
          <cell r="E390">
            <v>-518.75</v>
          </cell>
        </row>
        <row r="393">
          <cell r="D393">
            <v>469654.0999999999</v>
          </cell>
          <cell r="F393">
            <v>1890907.1999999995</v>
          </cell>
        </row>
        <row r="396">
          <cell r="D396">
            <v>6735.76</v>
          </cell>
          <cell r="F396">
            <v>29983.77</v>
          </cell>
        </row>
        <row r="398">
          <cell r="D398">
            <v>3506.25</v>
          </cell>
          <cell r="F398">
            <v>15262.5</v>
          </cell>
        </row>
        <row r="406">
          <cell r="D406">
            <v>94652.34</v>
          </cell>
          <cell r="F406">
            <v>336128.95</v>
          </cell>
        </row>
        <row r="699">
          <cell r="D699">
            <v>1033694.9499999993</v>
          </cell>
          <cell r="F699">
            <v>3964538.5699999975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D-p3"/>
      <sheetName val="Equity YTD-p4"/>
      <sheetName val="Earned Incurred QTD-p5"/>
      <sheetName val="Earned Incurred YTD-p6"/>
      <sheetName val="Premiums QTD-p7"/>
      <sheetName val="Premiums YTD-p8"/>
      <sheetName val="Losses Incurred QTD-p9"/>
      <sheetName val="(6)Losses Incurred YTD-p1"/>
      <sheetName val="Losses Incurred YTD-p10"/>
      <sheetName val="Loss Expenses QTD-p11"/>
      <sheetName val="Loss Expenses YTD-p12"/>
      <sheetName val="Business Summary"/>
      <sheetName val="BP-highlights-1"/>
    </sheetNames>
    <sheetDataSet>
      <sheetData sheetId="4">
        <row r="33">
          <cell r="C33">
            <v>282394.17</v>
          </cell>
        </row>
      </sheetData>
      <sheetData sheetId="6">
        <row r="33">
          <cell r="B33">
            <v>42827.65</v>
          </cell>
        </row>
        <row r="34">
          <cell r="B34">
            <v>46320</v>
          </cell>
        </row>
        <row r="41">
          <cell r="B41">
            <v>305437.57999999996</v>
          </cell>
        </row>
        <row r="42">
          <cell r="B42">
            <v>356304.2</v>
          </cell>
        </row>
        <row r="49">
          <cell r="B49">
            <v>6721.74</v>
          </cell>
        </row>
        <row r="50">
          <cell r="B50">
            <v>17083.95</v>
          </cell>
        </row>
      </sheetData>
      <sheetData sheetId="8">
        <row r="14">
          <cell r="B14">
            <v>7523356</v>
          </cell>
          <cell r="C14">
            <v>414542</v>
          </cell>
          <cell r="D14">
            <v>0</v>
          </cell>
          <cell r="E14">
            <v>0</v>
          </cell>
          <cell r="F14">
            <v>0</v>
          </cell>
        </row>
        <row r="15">
          <cell r="B15">
            <v>2489941</v>
          </cell>
          <cell r="C15">
            <v>140633</v>
          </cell>
          <cell r="D15">
            <v>0</v>
          </cell>
          <cell r="E15">
            <v>0</v>
          </cell>
          <cell r="F15">
            <v>0</v>
          </cell>
        </row>
        <row r="16">
          <cell r="B16">
            <v>36470</v>
          </cell>
          <cell r="C16">
            <v>1949</v>
          </cell>
          <cell r="D16">
            <v>0</v>
          </cell>
          <cell r="E16">
            <v>0</v>
          </cell>
          <cell r="F16">
            <v>0</v>
          </cell>
        </row>
        <row r="20">
          <cell r="B20">
            <v>0</v>
          </cell>
          <cell r="C20">
            <v>6494180</v>
          </cell>
          <cell r="D20">
            <v>0</v>
          </cell>
          <cell r="E20">
            <v>0</v>
          </cell>
          <cell r="F20">
            <v>0</v>
          </cell>
        </row>
        <row r="21">
          <cell r="B21">
            <v>0</v>
          </cell>
          <cell r="C21">
            <v>2362142</v>
          </cell>
          <cell r="D21">
            <v>0</v>
          </cell>
          <cell r="E21">
            <v>0</v>
          </cell>
          <cell r="F21">
            <v>0</v>
          </cell>
        </row>
        <row r="22">
          <cell r="B22">
            <v>0</v>
          </cell>
          <cell r="C22">
            <v>40804</v>
          </cell>
          <cell r="D22">
            <v>0</v>
          </cell>
          <cell r="E22">
            <v>0</v>
          </cell>
          <cell r="F22">
            <v>0</v>
          </cell>
        </row>
      </sheetData>
      <sheetData sheetId="11">
        <row r="15">
          <cell r="B15">
            <v>2512534.17</v>
          </cell>
          <cell r="C15">
            <v>2672513.43</v>
          </cell>
          <cell r="D15">
            <v>101025</v>
          </cell>
          <cell r="E15">
            <v>90525</v>
          </cell>
          <cell r="F15">
            <v>27649</v>
          </cell>
        </row>
        <row r="16">
          <cell r="B16">
            <v>505970.45</v>
          </cell>
          <cell r="C16">
            <v>281230.53</v>
          </cell>
        </row>
        <row r="17">
          <cell r="B17">
            <v>4298.33</v>
          </cell>
          <cell r="C17">
            <v>1240.37</v>
          </cell>
          <cell r="D17">
            <v>0</v>
          </cell>
          <cell r="E17">
            <v>0</v>
          </cell>
          <cell r="F17">
            <v>0</v>
          </cell>
        </row>
        <row r="21">
          <cell r="B21">
            <v>0</v>
          </cell>
          <cell r="C21">
            <v>3812745.98</v>
          </cell>
          <cell r="D21">
            <v>796383.85</v>
          </cell>
          <cell r="E21">
            <v>173012</v>
          </cell>
          <cell r="F21">
            <v>76334.03</v>
          </cell>
        </row>
        <row r="22">
          <cell r="B22">
            <v>0</v>
          </cell>
          <cell r="C22">
            <v>582572.89</v>
          </cell>
          <cell r="D22">
            <v>136273.61</v>
          </cell>
          <cell r="E22">
            <v>-982</v>
          </cell>
          <cell r="F22">
            <v>2332.82</v>
          </cell>
        </row>
        <row r="23">
          <cell r="B23">
            <v>0</v>
          </cell>
          <cell r="C23">
            <v>8803.51</v>
          </cell>
          <cell r="D23">
            <v>0</v>
          </cell>
          <cell r="E23">
            <v>0</v>
          </cell>
          <cell r="F23">
            <v>0</v>
          </cell>
        </row>
      </sheetData>
      <sheetData sheetId="13">
        <row r="15">
          <cell r="B15">
            <v>181133.75</v>
          </cell>
          <cell r="C15">
            <v>269698.94999999995</v>
          </cell>
          <cell r="D15">
            <v>11238.67</v>
          </cell>
          <cell r="E15">
            <v>10070.58</v>
          </cell>
          <cell r="F15">
            <v>3075.8600000000006</v>
          </cell>
        </row>
        <row r="16">
          <cell r="B16">
            <v>23721.940000000002</v>
          </cell>
          <cell r="C16">
            <v>21665.05</v>
          </cell>
          <cell r="D16">
            <v>4119.45</v>
          </cell>
        </row>
        <row r="17">
          <cell r="B17">
            <v>0</v>
          </cell>
          <cell r="C17">
            <v>0</v>
          </cell>
          <cell r="D17">
            <v>0</v>
          </cell>
          <cell r="E17">
            <v>0</v>
          </cell>
          <cell r="F17">
            <v>0</v>
          </cell>
        </row>
        <row r="21">
          <cell r="B21">
            <v>0</v>
          </cell>
          <cell r="C21">
            <v>317462.7</v>
          </cell>
          <cell r="D21">
            <v>88557.88</v>
          </cell>
          <cell r="E21">
            <v>19238.94</v>
          </cell>
          <cell r="F21">
            <v>8488.33</v>
          </cell>
        </row>
        <row r="22">
          <cell r="B22">
            <v>0</v>
          </cell>
          <cell r="C22">
            <v>25507.54</v>
          </cell>
          <cell r="D22">
            <v>15153.62</v>
          </cell>
          <cell r="E22">
            <v>-109.2</v>
          </cell>
          <cell r="F22">
            <v>259.41</v>
          </cell>
        </row>
        <row r="23">
          <cell r="B23">
            <v>0</v>
          </cell>
          <cell r="C23">
            <v>278</v>
          </cell>
          <cell r="D23">
            <v>0</v>
          </cell>
          <cell r="E23">
            <v>0</v>
          </cell>
          <cell r="F23">
            <v>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D-p3"/>
      <sheetName val="Equity YTD-p4"/>
      <sheetName val="Earned Incurred QTD-p5"/>
      <sheetName val="Earned Incurred YTD-p6"/>
      <sheetName val="Premiums QTD-p7"/>
      <sheetName val="Premiums YTD-p8"/>
      <sheetName val="Losses Incurred QTD-p9"/>
      <sheetName val="(6)Losses Incurred YTD-p1"/>
      <sheetName val="Losses Incurred YTD-p10"/>
      <sheetName val="Loss Expenses QTD-p11"/>
      <sheetName val="Loss Expenses YTD-p12"/>
      <sheetName val="Business Summary"/>
      <sheetName val="BP-highlights-1"/>
    </sheetNames>
    <sheetDataSet>
      <sheetData sheetId="1">
        <row r="17">
          <cell r="D17">
            <v>249936.05000000005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T62"/>
  <sheetViews>
    <sheetView workbookViewId="0" topLeftCell="A33">
      <selection activeCell="F37" sqref="F37"/>
    </sheetView>
  </sheetViews>
  <sheetFormatPr defaultColWidth="9.140625" defaultRowHeight="12.75"/>
  <cols>
    <col min="1" max="1" width="15.28125" style="230" customWidth="1"/>
    <col min="2" max="2" width="23.57421875" style="0" customWidth="1"/>
    <col min="3" max="3" width="12.140625" style="0" hidden="1" customWidth="1"/>
    <col min="4" max="4" width="11.28125" style="0" hidden="1" customWidth="1"/>
    <col min="5" max="5" width="13.7109375" style="304" customWidth="1"/>
    <col min="6" max="6" width="13.7109375" style="305" customWidth="1"/>
    <col min="7" max="7" width="12.8515625" style="259" bestFit="1" customWidth="1"/>
    <col min="8" max="8" width="11.7109375" style="295" customWidth="1"/>
    <col min="9" max="9" width="14.140625" style="295" customWidth="1"/>
    <col min="10" max="10" width="15.57421875" style="295" customWidth="1"/>
    <col min="11" max="11" width="12.421875" style="295" customWidth="1"/>
    <col min="12" max="12" width="11.57421875" style="295" customWidth="1"/>
    <col min="13" max="13" width="14.7109375" style="295" customWidth="1"/>
    <col min="14" max="14" width="11.8515625" style="295" customWidth="1"/>
  </cols>
  <sheetData>
    <row r="1" spans="2:14" ht="30">
      <c r="B1" s="231" t="s">
        <v>112</v>
      </c>
      <c r="C1" s="232"/>
      <c r="D1" s="232"/>
      <c r="E1" s="233"/>
      <c r="F1" s="234"/>
      <c r="G1" s="235"/>
      <c r="H1" s="236"/>
      <c r="I1" s="236"/>
      <c r="J1" s="236"/>
      <c r="K1" s="236"/>
      <c r="L1" s="236"/>
      <c r="M1" s="236"/>
      <c r="N1" s="236"/>
    </row>
    <row r="2" spans="2:14" ht="12.75">
      <c r="B2" s="232"/>
      <c r="C2" s="232"/>
      <c r="D2" s="232"/>
      <c r="E2" s="233"/>
      <c r="F2" s="234"/>
      <c r="G2" s="235"/>
      <c r="H2" s="236"/>
      <c r="I2" s="236"/>
      <c r="J2" s="236"/>
      <c r="K2" s="236"/>
      <c r="L2" s="236"/>
      <c r="M2" s="236"/>
      <c r="N2" s="236"/>
    </row>
    <row r="3" spans="2:19" ht="12.75">
      <c r="B3" s="237" t="s">
        <v>22</v>
      </c>
      <c r="C3" s="238">
        <v>36160</v>
      </c>
      <c r="D3" s="238">
        <v>36160</v>
      </c>
      <c r="E3" s="239">
        <v>37256</v>
      </c>
      <c r="F3" s="240">
        <v>37621</v>
      </c>
      <c r="G3" s="241"/>
      <c r="H3" s="242"/>
      <c r="I3" s="242"/>
      <c r="J3" s="242"/>
      <c r="K3" s="242"/>
      <c r="L3" s="242"/>
      <c r="M3" s="242"/>
      <c r="N3" s="242"/>
      <c r="O3" s="243"/>
      <c r="P3" s="243"/>
      <c r="Q3" s="243"/>
      <c r="R3" s="244"/>
      <c r="S3" s="244"/>
    </row>
    <row r="4" spans="2:19" ht="13.5" thickBot="1">
      <c r="B4" s="237"/>
      <c r="C4" s="237"/>
      <c r="D4" s="237"/>
      <c r="E4" s="245"/>
      <c r="F4" s="246"/>
      <c r="G4" s="247"/>
      <c r="H4" s="242"/>
      <c r="I4" s="242"/>
      <c r="J4" s="242"/>
      <c r="K4" s="242"/>
      <c r="L4" s="242"/>
      <c r="M4" s="242"/>
      <c r="N4" s="242"/>
      <c r="O4" s="243"/>
      <c r="P4" s="243"/>
      <c r="Q4" s="243"/>
      <c r="R4" s="244"/>
      <c r="S4" s="244"/>
    </row>
    <row r="5" spans="1:19" ht="26.25" thickBot="1">
      <c r="A5" s="248" t="s">
        <v>53</v>
      </c>
      <c r="B5" s="249"/>
      <c r="C5" s="237" t="s">
        <v>11</v>
      </c>
      <c r="D5" s="237" t="s">
        <v>54</v>
      </c>
      <c r="E5" s="245" t="s">
        <v>55</v>
      </c>
      <c r="F5" s="246" t="s">
        <v>55</v>
      </c>
      <c r="G5" s="250" t="s">
        <v>161</v>
      </c>
      <c r="H5" s="242" t="s">
        <v>56</v>
      </c>
      <c r="I5" s="242" t="s">
        <v>57</v>
      </c>
      <c r="J5" s="242" t="s">
        <v>237</v>
      </c>
      <c r="K5" s="242" t="s">
        <v>58</v>
      </c>
      <c r="L5" s="242" t="s">
        <v>59</v>
      </c>
      <c r="M5" s="242" t="s">
        <v>60</v>
      </c>
      <c r="N5" s="242"/>
      <c r="O5" s="243"/>
      <c r="P5" s="243"/>
      <c r="Q5" s="243"/>
      <c r="R5" s="244"/>
      <c r="S5" s="244"/>
    </row>
    <row r="6" spans="1:14" ht="12.75">
      <c r="A6" s="230">
        <v>11100</v>
      </c>
      <c r="B6" s="232"/>
      <c r="C6" s="232"/>
      <c r="D6" s="232"/>
      <c r="E6" s="233"/>
      <c r="F6" s="251"/>
      <c r="G6" s="252"/>
      <c r="H6" s="236"/>
      <c r="I6" s="236"/>
      <c r="J6" s="236"/>
      <c r="K6" s="236"/>
      <c r="L6" s="236"/>
      <c r="M6" s="236"/>
      <c r="N6" s="236"/>
    </row>
    <row r="7" spans="1:228" ht="12.75">
      <c r="A7" s="230">
        <v>12120</v>
      </c>
      <c r="B7" s="253" t="s">
        <v>61</v>
      </c>
      <c r="C7" s="232">
        <v>9169293.55</v>
      </c>
      <c r="D7" s="232">
        <v>93772.57</v>
      </c>
      <c r="E7" s="254">
        <f>+'[3]TB12-31-01(A)'!G16+'[3]TB12-31-01(A)'!G22</f>
        <v>12191835.46</v>
      </c>
      <c r="F7" s="255">
        <f>+'[1]TB06-30-03(Final)'!G23+'[1]TB06-30-03(Final)'!G16</f>
        <v>7815717.66</v>
      </c>
      <c r="G7" s="256">
        <f>-E7+F7</f>
        <v>-4376117.800000001</v>
      </c>
      <c r="H7" s="236"/>
      <c r="I7" s="236"/>
      <c r="J7" s="236"/>
      <c r="K7" s="236"/>
      <c r="L7" s="236"/>
      <c r="M7" s="236">
        <f>+G7</f>
        <v>-4376117.800000001</v>
      </c>
      <c r="N7" s="236"/>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7"/>
      <c r="AY7" s="257"/>
      <c r="AZ7" s="257"/>
      <c r="BA7" s="257"/>
      <c r="BB7" s="257"/>
      <c r="BC7" s="257"/>
      <c r="BD7" s="257"/>
      <c r="BE7" s="257"/>
      <c r="BF7" s="257"/>
      <c r="BG7" s="257"/>
      <c r="BH7" s="257"/>
      <c r="BI7" s="257"/>
      <c r="BJ7" s="257"/>
      <c r="BK7" s="257"/>
      <c r="BL7" s="257"/>
      <c r="BM7" s="257"/>
      <c r="BN7" s="257"/>
      <c r="BO7" s="257"/>
      <c r="BP7" s="257"/>
      <c r="BQ7" s="257"/>
      <c r="BR7" s="257"/>
      <c r="BS7" s="257"/>
      <c r="BT7" s="257"/>
      <c r="BU7" s="257"/>
      <c r="BV7" s="257"/>
      <c r="BW7" s="257"/>
      <c r="BX7" s="257"/>
      <c r="BY7" s="257"/>
      <c r="BZ7" s="257"/>
      <c r="CA7" s="257"/>
      <c r="CB7" s="257"/>
      <c r="CC7" s="257"/>
      <c r="CD7" s="257"/>
      <c r="CE7" s="257"/>
      <c r="CF7" s="257"/>
      <c r="CG7" s="257"/>
      <c r="CH7" s="257"/>
      <c r="CI7" s="257"/>
      <c r="CJ7" s="257"/>
      <c r="CK7" s="257"/>
      <c r="CL7" s="257"/>
      <c r="CM7" s="257"/>
      <c r="CN7" s="257"/>
      <c r="CO7" s="257"/>
      <c r="CP7" s="257"/>
      <c r="CQ7" s="257"/>
      <c r="CR7" s="257"/>
      <c r="CS7" s="257"/>
      <c r="CT7" s="257"/>
      <c r="CU7" s="257"/>
      <c r="CV7" s="257"/>
      <c r="CW7" s="257"/>
      <c r="CX7" s="257"/>
      <c r="CY7" s="257"/>
      <c r="CZ7" s="257"/>
      <c r="DA7" s="257"/>
      <c r="DB7" s="257"/>
      <c r="DC7" s="257"/>
      <c r="DD7" s="257"/>
      <c r="DE7" s="257"/>
      <c r="DF7" s="257"/>
      <c r="DG7" s="257"/>
      <c r="DH7" s="257"/>
      <c r="DI7" s="257"/>
      <c r="DJ7" s="257"/>
      <c r="DK7" s="257"/>
      <c r="DL7" s="257"/>
      <c r="DM7" s="257"/>
      <c r="DN7" s="257"/>
      <c r="DO7" s="257"/>
      <c r="DP7" s="257"/>
      <c r="DQ7" s="257"/>
      <c r="DR7" s="257"/>
      <c r="DS7" s="257"/>
      <c r="DT7" s="257"/>
      <c r="DU7" s="257"/>
      <c r="DV7" s="257"/>
      <c r="DW7" s="257"/>
      <c r="DX7" s="257"/>
      <c r="DY7" s="257"/>
      <c r="DZ7" s="257"/>
      <c r="EA7" s="257"/>
      <c r="EB7" s="257"/>
      <c r="EC7" s="257"/>
      <c r="ED7" s="257"/>
      <c r="EE7" s="257"/>
      <c r="EF7" s="257"/>
      <c r="EG7" s="257"/>
      <c r="EH7" s="257"/>
      <c r="EI7" s="257"/>
      <c r="EJ7" s="257"/>
      <c r="EK7" s="257"/>
      <c r="EL7" s="257"/>
      <c r="EM7" s="257"/>
      <c r="EN7" s="257"/>
      <c r="EO7" s="257"/>
      <c r="EP7" s="257"/>
      <c r="EQ7" s="257"/>
      <c r="ER7" s="257"/>
      <c r="ES7" s="257"/>
      <c r="ET7" s="257"/>
      <c r="EU7" s="257"/>
      <c r="EV7" s="257"/>
      <c r="EW7" s="257"/>
      <c r="EX7" s="257"/>
      <c r="EY7" s="257"/>
      <c r="EZ7" s="257"/>
      <c r="FA7" s="257"/>
      <c r="FB7" s="257"/>
      <c r="FC7" s="257"/>
      <c r="FD7" s="257"/>
      <c r="FE7" s="257"/>
      <c r="FF7" s="257"/>
      <c r="FG7" s="257"/>
      <c r="FH7" s="257"/>
      <c r="FI7" s="257"/>
      <c r="FJ7" s="257"/>
      <c r="FK7" s="257"/>
      <c r="FL7" s="257"/>
      <c r="FM7" s="257"/>
      <c r="FN7" s="257"/>
      <c r="FO7" s="257"/>
      <c r="FP7" s="257"/>
      <c r="FQ7" s="257"/>
      <c r="FR7" s="257"/>
      <c r="FS7" s="257"/>
      <c r="FT7" s="257"/>
      <c r="FU7" s="257"/>
      <c r="FV7" s="257"/>
      <c r="FW7" s="257"/>
      <c r="FX7" s="257"/>
      <c r="FY7" s="257"/>
      <c r="FZ7" s="257"/>
      <c r="GA7" s="257"/>
      <c r="GB7" s="257"/>
      <c r="GC7" s="257"/>
      <c r="GD7" s="257"/>
      <c r="GE7" s="257"/>
      <c r="GF7" s="257"/>
      <c r="GG7" s="257"/>
      <c r="GH7" s="257"/>
      <c r="GI7" s="257"/>
      <c r="GJ7" s="257"/>
      <c r="GK7" s="257"/>
      <c r="GL7" s="257"/>
      <c r="GM7" s="257"/>
      <c r="GN7" s="257"/>
      <c r="GO7" s="257"/>
      <c r="GP7" s="257"/>
      <c r="GQ7" s="257"/>
      <c r="GR7" s="257"/>
      <c r="GS7" s="257"/>
      <c r="GT7" s="257"/>
      <c r="GU7" s="257"/>
      <c r="GV7" s="257"/>
      <c r="GW7" s="257"/>
      <c r="GX7" s="257"/>
      <c r="GY7" s="257"/>
      <c r="GZ7" s="257"/>
      <c r="HA7" s="257"/>
      <c r="HB7" s="257"/>
      <c r="HC7" s="257"/>
      <c r="HD7" s="257"/>
      <c r="HE7" s="257"/>
      <c r="HF7" s="257"/>
      <c r="HG7" s="257"/>
      <c r="HH7" s="257"/>
      <c r="HI7" s="257"/>
      <c r="HJ7" s="257"/>
      <c r="HK7" s="257"/>
      <c r="HL7" s="257"/>
      <c r="HM7" s="257"/>
      <c r="HN7" s="257"/>
      <c r="HO7" s="257"/>
      <c r="HP7" s="257"/>
      <c r="HQ7" s="257"/>
      <c r="HR7" s="257"/>
      <c r="HS7" s="257"/>
      <c r="HT7" s="257"/>
    </row>
    <row r="8" spans="1:228" s="259" customFormat="1" ht="12.75">
      <c r="A8" s="258" t="s">
        <v>62</v>
      </c>
      <c r="C8" s="260"/>
      <c r="D8" s="260"/>
      <c r="E8" s="254"/>
      <c r="F8" s="255"/>
      <c r="G8" s="256"/>
      <c r="H8" s="261"/>
      <c r="I8" s="261"/>
      <c r="J8" s="261"/>
      <c r="K8" s="261"/>
      <c r="L8" s="261"/>
      <c r="M8" s="261"/>
      <c r="N8" s="261"/>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62"/>
      <c r="AV8" s="262"/>
      <c r="AW8" s="262"/>
      <c r="AX8" s="262"/>
      <c r="AY8" s="262"/>
      <c r="AZ8" s="262"/>
      <c r="BA8" s="262"/>
      <c r="BB8" s="262"/>
      <c r="BC8" s="262"/>
      <c r="BD8" s="262"/>
      <c r="BE8" s="262"/>
      <c r="BF8" s="262"/>
      <c r="BG8" s="262"/>
      <c r="BH8" s="262"/>
      <c r="BI8" s="262"/>
      <c r="BJ8" s="262"/>
      <c r="BK8" s="262"/>
      <c r="BL8" s="262"/>
      <c r="BM8" s="262"/>
      <c r="BN8" s="262"/>
      <c r="BO8" s="262"/>
      <c r="BP8" s="262"/>
      <c r="BQ8" s="262"/>
      <c r="BR8" s="262"/>
      <c r="BS8" s="262"/>
      <c r="BT8" s="262"/>
      <c r="BU8" s="262"/>
      <c r="BV8" s="262"/>
      <c r="BW8" s="262"/>
      <c r="BX8" s="262"/>
      <c r="BY8" s="262"/>
      <c r="BZ8" s="262"/>
      <c r="CA8" s="262"/>
      <c r="CB8" s="262"/>
      <c r="CC8" s="262"/>
      <c r="CD8" s="262"/>
      <c r="CE8" s="262"/>
      <c r="CF8" s="262"/>
      <c r="CG8" s="262"/>
      <c r="CH8" s="262"/>
      <c r="CI8" s="262"/>
      <c r="CJ8" s="262"/>
      <c r="CK8" s="262"/>
      <c r="CL8" s="262"/>
      <c r="CM8" s="262"/>
      <c r="CN8" s="262"/>
      <c r="CO8" s="262"/>
      <c r="CP8" s="262"/>
      <c r="CQ8" s="262"/>
      <c r="CR8" s="262"/>
      <c r="CS8" s="262"/>
      <c r="CT8" s="262"/>
      <c r="CU8" s="262"/>
      <c r="CV8" s="262"/>
      <c r="CW8" s="262"/>
      <c r="CX8" s="262"/>
      <c r="CY8" s="262"/>
      <c r="CZ8" s="262"/>
      <c r="DA8" s="262"/>
      <c r="DB8" s="262"/>
      <c r="DC8" s="262"/>
      <c r="DD8" s="262"/>
      <c r="DE8" s="262"/>
      <c r="DF8" s="262"/>
      <c r="DG8" s="262"/>
      <c r="DH8" s="262"/>
      <c r="DI8" s="262"/>
      <c r="DJ8" s="262"/>
      <c r="DK8" s="262"/>
      <c r="DL8" s="262"/>
      <c r="DM8" s="262"/>
      <c r="DN8" s="262"/>
      <c r="DO8" s="262"/>
      <c r="DP8" s="262"/>
      <c r="DQ8" s="262"/>
      <c r="DR8" s="262"/>
      <c r="DS8" s="262"/>
      <c r="DT8" s="262"/>
      <c r="DU8" s="262"/>
      <c r="DV8" s="262"/>
      <c r="DW8" s="262"/>
      <c r="DX8" s="262"/>
      <c r="DY8" s="262"/>
      <c r="DZ8" s="262"/>
      <c r="EA8" s="262"/>
      <c r="EB8" s="262"/>
      <c r="EC8" s="262"/>
      <c r="ED8" s="262"/>
      <c r="EE8" s="262"/>
      <c r="EF8" s="262"/>
      <c r="EG8" s="262"/>
      <c r="EH8" s="262"/>
      <c r="EI8" s="262"/>
      <c r="EJ8" s="262"/>
      <c r="EK8" s="262"/>
      <c r="EL8" s="262"/>
      <c r="EM8" s="262"/>
      <c r="EN8" s="262"/>
      <c r="EO8" s="262"/>
      <c r="EP8" s="262"/>
      <c r="EQ8" s="262"/>
      <c r="ER8" s="262"/>
      <c r="ES8" s="262"/>
      <c r="ET8" s="262"/>
      <c r="EU8" s="262"/>
      <c r="EV8" s="262"/>
      <c r="EW8" s="262"/>
      <c r="EX8" s="262"/>
      <c r="EY8" s="262"/>
      <c r="EZ8" s="262"/>
      <c r="FA8" s="262"/>
      <c r="FB8" s="262"/>
      <c r="FC8" s="262"/>
      <c r="FD8" s="262"/>
      <c r="FE8" s="262"/>
      <c r="FF8" s="262"/>
      <c r="FG8" s="262"/>
      <c r="FH8" s="262"/>
      <c r="FI8" s="262"/>
      <c r="FJ8" s="262"/>
      <c r="FK8" s="262"/>
      <c r="FL8" s="262"/>
      <c r="FM8" s="262"/>
      <c r="FN8" s="262"/>
      <c r="FO8" s="262"/>
      <c r="FP8" s="262"/>
      <c r="FQ8" s="262"/>
      <c r="FR8" s="262"/>
      <c r="FS8" s="262"/>
      <c r="FT8" s="262"/>
      <c r="FU8" s="262"/>
      <c r="FV8" s="262"/>
      <c r="FW8" s="262"/>
      <c r="FX8" s="262"/>
      <c r="FY8" s="262"/>
      <c r="FZ8" s="262"/>
      <c r="GA8" s="262"/>
      <c r="GB8" s="262"/>
      <c r="GC8" s="262"/>
      <c r="GD8" s="262"/>
      <c r="GE8" s="262"/>
      <c r="GF8" s="262"/>
      <c r="GG8" s="262"/>
      <c r="GH8" s="262"/>
      <c r="GI8" s="262"/>
      <c r="GJ8" s="262"/>
      <c r="GK8" s="262"/>
      <c r="GL8" s="262"/>
      <c r="GM8" s="262"/>
      <c r="GN8" s="262"/>
      <c r="GO8" s="262"/>
      <c r="GP8" s="262"/>
      <c r="GQ8" s="262"/>
      <c r="GR8" s="262"/>
      <c r="GS8" s="262"/>
      <c r="GT8" s="262"/>
      <c r="GU8" s="262"/>
      <c r="GV8" s="262"/>
      <c r="GW8" s="262"/>
      <c r="GX8" s="262"/>
      <c r="GY8" s="262"/>
      <c r="GZ8" s="262"/>
      <c r="HA8" s="262"/>
      <c r="HB8" s="262"/>
      <c r="HC8" s="262"/>
      <c r="HD8" s="262"/>
      <c r="HE8" s="262"/>
      <c r="HF8" s="262"/>
      <c r="HG8" s="262"/>
      <c r="HH8" s="262"/>
      <c r="HI8" s="262"/>
      <c r="HJ8" s="262"/>
      <c r="HK8" s="262"/>
      <c r="HL8" s="262"/>
      <c r="HM8" s="262"/>
      <c r="HN8" s="262"/>
      <c r="HO8" s="262"/>
      <c r="HP8" s="262"/>
      <c r="HQ8" s="262"/>
      <c r="HR8" s="262"/>
      <c r="HS8" s="262"/>
      <c r="HT8" s="262"/>
    </row>
    <row r="9" spans="1:228" ht="12.75">
      <c r="A9" s="230" t="s">
        <v>63</v>
      </c>
      <c r="B9" s="263" t="s">
        <v>64</v>
      </c>
      <c r="C9" s="232">
        <v>-190570.97</v>
      </c>
      <c r="D9" s="232">
        <v>0</v>
      </c>
      <c r="E9" s="254">
        <f>+'[3]TB12-31-01(A)'!F233+'[3]TB12-31-01(A)'!F235</f>
        <v>-43099.52</v>
      </c>
      <c r="F9" s="255">
        <f>+'[1]TB06-30-03(Final)'!F250+'[1]TB06-30-03(Final)'!F252</f>
        <v>-96006.3</v>
      </c>
      <c r="G9" s="256">
        <f>-E9+F9</f>
        <v>-52906.780000000006</v>
      </c>
      <c r="H9" s="236"/>
      <c r="I9" s="236"/>
      <c r="J9" s="236"/>
      <c r="K9" s="236"/>
      <c r="L9" s="236"/>
      <c r="M9" s="236"/>
      <c r="N9" s="236"/>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c r="BR9" s="257"/>
      <c r="BS9" s="257"/>
      <c r="BT9" s="257"/>
      <c r="BU9" s="257"/>
      <c r="BV9" s="257"/>
      <c r="BW9" s="257"/>
      <c r="BX9" s="257"/>
      <c r="BY9" s="257"/>
      <c r="BZ9" s="257"/>
      <c r="CA9" s="257"/>
      <c r="CB9" s="257"/>
      <c r="CC9" s="257"/>
      <c r="CD9" s="257"/>
      <c r="CE9" s="257"/>
      <c r="CF9" s="257"/>
      <c r="CG9" s="257"/>
      <c r="CH9" s="257"/>
      <c r="CI9" s="257"/>
      <c r="CJ9" s="257"/>
      <c r="CK9" s="257"/>
      <c r="CL9" s="257"/>
      <c r="CM9" s="257"/>
      <c r="CN9" s="257"/>
      <c r="CO9" s="257"/>
      <c r="CP9" s="257"/>
      <c r="CQ9" s="257"/>
      <c r="CR9" s="257"/>
      <c r="CS9" s="257"/>
      <c r="CT9" s="257"/>
      <c r="CU9" s="257"/>
      <c r="CV9" s="257"/>
      <c r="CW9" s="257"/>
      <c r="CX9" s="257"/>
      <c r="CY9" s="257"/>
      <c r="CZ9" s="257"/>
      <c r="DA9" s="257"/>
      <c r="DB9" s="257"/>
      <c r="DC9" s="257"/>
      <c r="DD9" s="257"/>
      <c r="DE9" s="257"/>
      <c r="DF9" s="257"/>
      <c r="DG9" s="257"/>
      <c r="DH9" s="257"/>
      <c r="DI9" s="257"/>
      <c r="DJ9" s="257"/>
      <c r="DK9" s="257"/>
      <c r="DL9" s="257"/>
      <c r="DM9" s="257"/>
      <c r="DN9" s="257"/>
      <c r="DO9" s="257"/>
      <c r="DP9" s="257"/>
      <c r="DQ9" s="257"/>
      <c r="DR9" s="257"/>
      <c r="DS9" s="257"/>
      <c r="DT9" s="257"/>
      <c r="DU9" s="257"/>
      <c r="DV9" s="257"/>
      <c r="DW9" s="257"/>
      <c r="DX9" s="257"/>
      <c r="DY9" s="257"/>
      <c r="DZ9" s="257"/>
      <c r="EA9" s="257"/>
      <c r="EB9" s="257"/>
      <c r="EC9" s="257"/>
      <c r="ED9" s="257"/>
      <c r="EE9" s="257"/>
      <c r="EF9" s="257"/>
      <c r="EG9" s="257"/>
      <c r="EH9" s="257"/>
      <c r="EI9" s="257"/>
      <c r="EJ9" s="257"/>
      <c r="EK9" s="257"/>
      <c r="EL9" s="257"/>
      <c r="EM9" s="257"/>
      <c r="EN9" s="257"/>
      <c r="EO9" s="257"/>
      <c r="EP9" s="257"/>
      <c r="EQ9" s="257"/>
      <c r="ER9" s="257"/>
      <c r="ES9" s="257"/>
      <c r="ET9" s="257"/>
      <c r="EU9" s="257"/>
      <c r="EV9" s="257"/>
      <c r="EW9" s="257"/>
      <c r="EX9" s="257"/>
      <c r="EY9" s="257"/>
      <c r="EZ9" s="257"/>
      <c r="FA9" s="257"/>
      <c r="FB9" s="257"/>
      <c r="FC9" s="257"/>
      <c r="FD9" s="257"/>
      <c r="FE9" s="257"/>
      <c r="FF9" s="257"/>
      <c r="FG9" s="257"/>
      <c r="FH9" s="257"/>
      <c r="FI9" s="257"/>
      <c r="FJ9" s="257"/>
      <c r="FK9" s="257"/>
      <c r="FL9" s="257"/>
      <c r="FM9" s="257"/>
      <c r="FN9" s="257"/>
      <c r="FO9" s="257"/>
      <c r="FP9" s="257"/>
      <c r="FQ9" s="257"/>
      <c r="FR9" s="257"/>
      <c r="FS9" s="257"/>
      <c r="FT9" s="257"/>
      <c r="FU9" s="257"/>
      <c r="FV9" s="257"/>
      <c r="FW9" s="257"/>
      <c r="FX9" s="257"/>
      <c r="FY9" s="257"/>
      <c r="FZ9" s="257"/>
      <c r="GA9" s="257"/>
      <c r="GB9" s="257"/>
      <c r="GC9" s="257"/>
      <c r="GD9" s="257"/>
      <c r="GE9" s="257"/>
      <c r="GF9" s="257"/>
      <c r="GG9" s="257"/>
      <c r="GH9" s="257"/>
      <c r="GI9" s="257"/>
      <c r="GJ9" s="257"/>
      <c r="GK9" s="257"/>
      <c r="GL9" s="257"/>
      <c r="GM9" s="257"/>
      <c r="GN9" s="257"/>
      <c r="GO9" s="257"/>
      <c r="GP9" s="257"/>
      <c r="GQ9" s="257"/>
      <c r="GR9" s="257"/>
      <c r="GS9" s="257"/>
      <c r="GT9" s="257"/>
      <c r="GU9" s="257"/>
      <c r="GV9" s="257"/>
      <c r="GW9" s="257"/>
      <c r="GX9" s="257"/>
      <c r="GY9" s="257"/>
      <c r="GZ9" s="257"/>
      <c r="HA9" s="257"/>
      <c r="HB9" s="257"/>
      <c r="HC9" s="257"/>
      <c r="HD9" s="257"/>
      <c r="HE9" s="257"/>
      <c r="HF9" s="257"/>
      <c r="HG9" s="257"/>
      <c r="HH9" s="257"/>
      <c r="HI9" s="257"/>
      <c r="HJ9" s="257"/>
      <c r="HK9" s="257"/>
      <c r="HL9" s="257"/>
      <c r="HM9" s="257"/>
      <c r="HN9" s="257"/>
      <c r="HO9" s="257"/>
      <c r="HP9" s="257"/>
      <c r="HQ9" s="257"/>
      <c r="HR9" s="257"/>
      <c r="HS9" s="257"/>
      <c r="HT9" s="257"/>
    </row>
    <row r="10" spans="1:228" ht="12.75">
      <c r="A10" s="230" t="s">
        <v>65</v>
      </c>
      <c r="B10" s="263" t="s">
        <v>66</v>
      </c>
      <c r="C10" s="232">
        <v>-55530</v>
      </c>
      <c r="D10" s="232">
        <v>-11472.54</v>
      </c>
      <c r="E10" s="254">
        <f>+'[3]TB12-31-01(A)'!F231</f>
        <v>-23699.49</v>
      </c>
      <c r="F10" s="255">
        <f>+'[1]TB06-30-03(Final)'!F248</f>
        <v>-59861.75</v>
      </c>
      <c r="G10" s="256">
        <f>-E10+F10</f>
        <v>-36162.259999999995</v>
      </c>
      <c r="H10" s="236"/>
      <c r="I10" s="236"/>
      <c r="J10" s="236"/>
      <c r="K10" s="236"/>
      <c r="L10" s="236"/>
      <c r="M10" s="236"/>
      <c r="N10" s="236"/>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c r="BR10" s="257"/>
      <c r="BS10" s="257"/>
      <c r="BT10" s="257"/>
      <c r="BU10" s="257"/>
      <c r="BV10" s="257"/>
      <c r="BW10" s="257"/>
      <c r="BX10" s="257"/>
      <c r="BY10" s="257"/>
      <c r="BZ10" s="257"/>
      <c r="CA10" s="257"/>
      <c r="CB10" s="257"/>
      <c r="CC10" s="257"/>
      <c r="CD10" s="257"/>
      <c r="CE10" s="257"/>
      <c r="CF10" s="257"/>
      <c r="CG10" s="257"/>
      <c r="CH10" s="257"/>
      <c r="CI10" s="257"/>
      <c r="CJ10" s="257"/>
      <c r="CK10" s="257"/>
      <c r="CL10" s="257"/>
      <c r="CM10" s="257"/>
      <c r="CN10" s="257"/>
      <c r="CO10" s="257"/>
      <c r="CP10" s="257"/>
      <c r="CQ10" s="257"/>
      <c r="CR10" s="257"/>
      <c r="CS10" s="257"/>
      <c r="CT10" s="257"/>
      <c r="CU10" s="257"/>
      <c r="CV10" s="257"/>
      <c r="CW10" s="257"/>
      <c r="CX10" s="257"/>
      <c r="CY10" s="257"/>
      <c r="CZ10" s="257"/>
      <c r="DA10" s="257"/>
      <c r="DB10" s="257"/>
      <c r="DC10" s="257"/>
      <c r="DD10" s="257"/>
      <c r="DE10" s="257"/>
      <c r="DF10" s="257"/>
      <c r="DG10" s="257"/>
      <c r="DH10" s="257"/>
      <c r="DI10" s="257"/>
      <c r="DJ10" s="257"/>
      <c r="DK10" s="257"/>
      <c r="DL10" s="257"/>
      <c r="DM10" s="257"/>
      <c r="DN10" s="257"/>
      <c r="DO10" s="257"/>
      <c r="DP10" s="257"/>
      <c r="DQ10" s="257"/>
      <c r="DR10" s="257"/>
      <c r="DS10" s="257"/>
      <c r="DT10" s="257"/>
      <c r="DU10" s="257"/>
      <c r="DV10" s="257"/>
      <c r="DW10" s="257"/>
      <c r="DX10" s="257"/>
      <c r="DY10" s="257"/>
      <c r="DZ10" s="257"/>
      <c r="EA10" s="257"/>
      <c r="EB10" s="257"/>
      <c r="EC10" s="257"/>
      <c r="ED10" s="257"/>
      <c r="EE10" s="257"/>
      <c r="EF10" s="257"/>
      <c r="EG10" s="257"/>
      <c r="EH10" s="257"/>
      <c r="EI10" s="257"/>
      <c r="EJ10" s="257"/>
      <c r="EK10" s="257"/>
      <c r="EL10" s="257"/>
      <c r="EM10" s="257"/>
      <c r="EN10" s="257"/>
      <c r="EO10" s="257"/>
      <c r="EP10" s="257"/>
      <c r="EQ10" s="257"/>
      <c r="ER10" s="257"/>
      <c r="ES10" s="257"/>
      <c r="ET10" s="257"/>
      <c r="EU10" s="257"/>
      <c r="EV10" s="257"/>
      <c r="EW10" s="257"/>
      <c r="EX10" s="257"/>
      <c r="EY10" s="257"/>
      <c r="EZ10" s="257"/>
      <c r="FA10" s="257"/>
      <c r="FB10" s="257"/>
      <c r="FC10" s="257"/>
      <c r="FD10" s="257"/>
      <c r="FE10" s="257"/>
      <c r="FF10" s="257"/>
      <c r="FG10" s="257"/>
      <c r="FH10" s="257"/>
      <c r="FI10" s="257"/>
      <c r="FJ10" s="257"/>
      <c r="FK10" s="257"/>
      <c r="FL10" s="257"/>
      <c r="FM10" s="257"/>
      <c r="FN10" s="257"/>
      <c r="FO10" s="257"/>
      <c r="FP10" s="257"/>
      <c r="FQ10" s="257"/>
      <c r="FR10" s="257"/>
      <c r="FS10" s="257"/>
      <c r="FT10" s="257"/>
      <c r="FU10" s="257"/>
      <c r="FV10" s="257"/>
      <c r="FW10" s="257"/>
      <c r="FX10" s="257"/>
      <c r="FY10" s="257"/>
      <c r="FZ10" s="257"/>
      <c r="GA10" s="257"/>
      <c r="GB10" s="257"/>
      <c r="GC10" s="257"/>
      <c r="GD10" s="257"/>
      <c r="GE10" s="257"/>
      <c r="GF10" s="257"/>
      <c r="GG10" s="257"/>
      <c r="GH10" s="257"/>
      <c r="GI10" s="257"/>
      <c r="GJ10" s="257"/>
      <c r="GK10" s="257"/>
      <c r="GL10" s="257"/>
      <c r="GM10" s="257"/>
      <c r="GN10" s="257"/>
      <c r="GO10" s="257"/>
      <c r="GP10" s="257"/>
      <c r="GQ10" s="257"/>
      <c r="GR10" s="257"/>
      <c r="GS10" s="257"/>
      <c r="GT10" s="257"/>
      <c r="GU10" s="257"/>
      <c r="GV10" s="257"/>
      <c r="GW10" s="257"/>
      <c r="GX10" s="257"/>
      <c r="GY10" s="257"/>
      <c r="GZ10" s="257"/>
      <c r="HA10" s="257"/>
      <c r="HB10" s="257"/>
      <c r="HC10" s="257"/>
      <c r="HD10" s="257"/>
      <c r="HE10" s="257"/>
      <c r="HF10" s="257"/>
      <c r="HG10" s="257"/>
      <c r="HH10" s="257"/>
      <c r="HI10" s="257"/>
      <c r="HJ10" s="257"/>
      <c r="HK10" s="257"/>
      <c r="HL10" s="257"/>
      <c r="HM10" s="257"/>
      <c r="HN10" s="257"/>
      <c r="HO10" s="257"/>
      <c r="HP10" s="257"/>
      <c r="HQ10" s="257"/>
      <c r="HR10" s="257"/>
      <c r="HS10" s="257"/>
      <c r="HT10" s="257"/>
    </row>
    <row r="11" spans="1:228" ht="12.75">
      <c r="A11" s="230">
        <v>29235</v>
      </c>
      <c r="B11" s="263" t="s">
        <v>67</v>
      </c>
      <c r="C11" s="232">
        <v>-988.8</v>
      </c>
      <c r="D11" s="232">
        <v>0</v>
      </c>
      <c r="E11" s="254">
        <f>+'[3]TB12-31-01(A)'!F234</f>
        <v>-7416.9</v>
      </c>
      <c r="F11" s="255">
        <v>0</v>
      </c>
      <c r="G11" s="256">
        <f>-E11+F11</f>
        <v>7416.9</v>
      </c>
      <c r="H11" s="236"/>
      <c r="I11" s="236">
        <f>SUM(G9:G11)</f>
        <v>-81652.14000000001</v>
      </c>
      <c r="J11" s="236"/>
      <c r="K11" s="236"/>
      <c r="L11" s="236"/>
      <c r="M11" s="236"/>
      <c r="N11" s="236"/>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c r="BB11" s="257"/>
      <c r="BC11" s="257"/>
      <c r="BD11" s="257"/>
      <c r="BE11" s="257"/>
      <c r="BF11" s="257"/>
      <c r="BG11" s="257"/>
      <c r="BH11" s="257"/>
      <c r="BI11" s="257"/>
      <c r="BJ11" s="257"/>
      <c r="BK11" s="257"/>
      <c r="BL11" s="257"/>
      <c r="BM11" s="257"/>
      <c r="BN11" s="257"/>
      <c r="BO11" s="257"/>
      <c r="BP11" s="257"/>
      <c r="BQ11" s="257"/>
      <c r="BR11" s="257"/>
      <c r="BS11" s="257"/>
      <c r="BT11" s="257"/>
      <c r="BU11" s="257"/>
      <c r="BV11" s="257"/>
      <c r="BW11" s="257"/>
      <c r="BX11" s="257"/>
      <c r="BY11" s="257"/>
      <c r="BZ11" s="257"/>
      <c r="CA11" s="257"/>
      <c r="CB11" s="257"/>
      <c r="CC11" s="257"/>
      <c r="CD11" s="257"/>
      <c r="CE11" s="257"/>
      <c r="CF11" s="257"/>
      <c r="CG11" s="257"/>
      <c r="CH11" s="257"/>
      <c r="CI11" s="257"/>
      <c r="CJ11" s="257"/>
      <c r="CK11" s="257"/>
      <c r="CL11" s="257"/>
      <c r="CM11" s="257"/>
      <c r="CN11" s="257"/>
      <c r="CO11" s="257"/>
      <c r="CP11" s="257"/>
      <c r="CQ11" s="257"/>
      <c r="CR11" s="257"/>
      <c r="CS11" s="257"/>
      <c r="CT11" s="257"/>
      <c r="CU11" s="257"/>
      <c r="CV11" s="257"/>
      <c r="CW11" s="257"/>
      <c r="CX11" s="257"/>
      <c r="CY11" s="257"/>
      <c r="CZ11" s="257"/>
      <c r="DA11" s="257"/>
      <c r="DB11" s="257"/>
      <c r="DC11" s="257"/>
      <c r="DD11" s="257"/>
      <c r="DE11" s="257"/>
      <c r="DF11" s="257"/>
      <c r="DG11" s="257"/>
      <c r="DH11" s="257"/>
      <c r="DI11" s="257"/>
      <c r="DJ11" s="257"/>
      <c r="DK11" s="257"/>
      <c r="DL11" s="257"/>
      <c r="DM11" s="257"/>
      <c r="DN11" s="257"/>
      <c r="DO11" s="257"/>
      <c r="DP11" s="257"/>
      <c r="DQ11" s="257"/>
      <c r="DR11" s="257"/>
      <c r="DS11" s="257"/>
      <c r="DT11" s="257"/>
      <c r="DU11" s="257"/>
      <c r="DV11" s="257"/>
      <c r="DW11" s="257"/>
      <c r="DX11" s="257"/>
      <c r="DY11" s="257"/>
      <c r="DZ11" s="257"/>
      <c r="EA11" s="257"/>
      <c r="EB11" s="257"/>
      <c r="EC11" s="257"/>
      <c r="ED11" s="257"/>
      <c r="EE11" s="257"/>
      <c r="EF11" s="257"/>
      <c r="EG11" s="257"/>
      <c r="EH11" s="257"/>
      <c r="EI11" s="257"/>
      <c r="EJ11" s="257"/>
      <c r="EK11" s="257"/>
      <c r="EL11" s="257"/>
      <c r="EM11" s="257"/>
      <c r="EN11" s="257"/>
      <c r="EO11" s="257"/>
      <c r="EP11" s="257"/>
      <c r="EQ11" s="257"/>
      <c r="ER11" s="257"/>
      <c r="ES11" s="257"/>
      <c r="ET11" s="257"/>
      <c r="EU11" s="257"/>
      <c r="EV11" s="257"/>
      <c r="EW11" s="257"/>
      <c r="EX11" s="257"/>
      <c r="EY11" s="257"/>
      <c r="EZ11" s="257"/>
      <c r="FA11" s="257"/>
      <c r="FB11" s="257"/>
      <c r="FC11" s="257"/>
      <c r="FD11" s="257"/>
      <c r="FE11" s="257"/>
      <c r="FF11" s="257"/>
      <c r="FG11" s="257"/>
      <c r="FH11" s="257"/>
      <c r="FI11" s="257"/>
      <c r="FJ11" s="257"/>
      <c r="FK11" s="257"/>
      <c r="FL11" s="257"/>
      <c r="FM11" s="257"/>
      <c r="FN11" s="257"/>
      <c r="FO11" s="257"/>
      <c r="FP11" s="257"/>
      <c r="FQ11" s="257"/>
      <c r="FR11" s="257"/>
      <c r="FS11" s="257"/>
      <c r="FT11" s="257"/>
      <c r="FU11" s="257"/>
      <c r="FV11" s="257"/>
      <c r="FW11" s="257"/>
      <c r="FX11" s="257"/>
      <c r="FY11" s="257"/>
      <c r="FZ11" s="257"/>
      <c r="GA11" s="257"/>
      <c r="GB11" s="257"/>
      <c r="GC11" s="257"/>
      <c r="GD11" s="257"/>
      <c r="GE11" s="257"/>
      <c r="GF11" s="257"/>
      <c r="GG11" s="257"/>
      <c r="GH11" s="257"/>
      <c r="GI11" s="257"/>
      <c r="GJ11" s="257"/>
      <c r="GK11" s="257"/>
      <c r="GL11" s="257"/>
      <c r="GM11" s="257"/>
      <c r="GN11" s="257"/>
      <c r="GO11" s="257"/>
      <c r="GP11" s="257"/>
      <c r="GQ11" s="257"/>
      <c r="GR11" s="257"/>
      <c r="GS11" s="257"/>
      <c r="GT11" s="257"/>
      <c r="GU11" s="257"/>
      <c r="GV11" s="257"/>
      <c r="GW11" s="257"/>
      <c r="GX11" s="257"/>
      <c r="GY11" s="257"/>
      <c r="GZ11" s="257"/>
      <c r="HA11" s="257"/>
      <c r="HB11" s="257"/>
      <c r="HC11" s="257"/>
      <c r="HD11" s="257"/>
      <c r="HE11" s="257"/>
      <c r="HF11" s="257"/>
      <c r="HG11" s="257"/>
      <c r="HH11" s="257"/>
      <c r="HI11" s="257"/>
      <c r="HJ11" s="257"/>
      <c r="HK11" s="257"/>
      <c r="HL11" s="257"/>
      <c r="HM11" s="257"/>
      <c r="HN11" s="257"/>
      <c r="HO11" s="257"/>
      <c r="HP11" s="257"/>
      <c r="HQ11" s="257"/>
      <c r="HR11" s="257"/>
      <c r="HS11" s="257"/>
      <c r="HT11" s="257"/>
    </row>
    <row r="12" spans="2:228" ht="12.75">
      <c r="B12" s="264"/>
      <c r="C12" s="264"/>
      <c r="D12" s="232"/>
      <c r="E12" s="254"/>
      <c r="F12" s="255"/>
      <c r="G12" s="256"/>
      <c r="H12" s="236"/>
      <c r="I12" s="236"/>
      <c r="J12" s="236"/>
      <c r="K12" s="236"/>
      <c r="L12" s="236"/>
      <c r="M12" s="236"/>
      <c r="N12" s="236"/>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7"/>
      <c r="AV12" s="257"/>
      <c r="AW12" s="257"/>
      <c r="AX12" s="257"/>
      <c r="AY12" s="257"/>
      <c r="AZ12" s="257"/>
      <c r="BA12" s="257"/>
      <c r="BB12" s="257"/>
      <c r="BC12" s="257"/>
      <c r="BD12" s="257"/>
      <c r="BE12" s="257"/>
      <c r="BF12" s="257"/>
      <c r="BG12" s="257"/>
      <c r="BH12" s="257"/>
      <c r="BI12" s="257"/>
      <c r="BJ12" s="257"/>
      <c r="BK12" s="257"/>
      <c r="BL12" s="257"/>
      <c r="BM12" s="257"/>
      <c r="BN12" s="257"/>
      <c r="BO12" s="257"/>
      <c r="BP12" s="257"/>
      <c r="BQ12" s="257"/>
      <c r="BR12" s="257"/>
      <c r="BS12" s="257"/>
      <c r="BT12" s="257"/>
      <c r="BU12" s="257"/>
      <c r="BV12" s="257"/>
      <c r="BW12" s="257"/>
      <c r="BX12" s="257"/>
      <c r="BY12" s="257"/>
      <c r="BZ12" s="257"/>
      <c r="CA12" s="257"/>
      <c r="CB12" s="257"/>
      <c r="CC12" s="257"/>
      <c r="CD12" s="257"/>
      <c r="CE12" s="257"/>
      <c r="CF12" s="257"/>
      <c r="CG12" s="257"/>
      <c r="CH12" s="257"/>
      <c r="CI12" s="257"/>
      <c r="CJ12" s="257"/>
      <c r="CK12" s="257"/>
      <c r="CL12" s="257"/>
      <c r="CM12" s="257"/>
      <c r="CN12" s="257"/>
      <c r="CO12" s="257"/>
      <c r="CP12" s="257"/>
      <c r="CQ12" s="257"/>
      <c r="CR12" s="257"/>
      <c r="CS12" s="257"/>
      <c r="CT12" s="257"/>
      <c r="CU12" s="257"/>
      <c r="CV12" s="257"/>
      <c r="CW12" s="257"/>
      <c r="CX12" s="257"/>
      <c r="CY12" s="257"/>
      <c r="CZ12" s="257"/>
      <c r="DA12" s="257"/>
      <c r="DB12" s="257"/>
      <c r="DC12" s="257"/>
      <c r="DD12" s="257"/>
      <c r="DE12" s="257"/>
      <c r="DF12" s="257"/>
      <c r="DG12" s="257"/>
      <c r="DH12" s="257"/>
      <c r="DI12" s="257"/>
      <c r="DJ12" s="257"/>
      <c r="DK12" s="257"/>
      <c r="DL12" s="257"/>
      <c r="DM12" s="257"/>
      <c r="DN12" s="257"/>
      <c r="DO12" s="257"/>
      <c r="DP12" s="257"/>
      <c r="DQ12" s="257"/>
      <c r="DR12" s="257"/>
      <c r="DS12" s="257"/>
      <c r="DT12" s="257"/>
      <c r="DU12" s="257"/>
      <c r="DV12" s="257"/>
      <c r="DW12" s="257"/>
      <c r="DX12" s="257"/>
      <c r="DY12" s="257"/>
      <c r="DZ12" s="257"/>
      <c r="EA12" s="257"/>
      <c r="EB12" s="257"/>
      <c r="EC12" s="257"/>
      <c r="ED12" s="257"/>
      <c r="EE12" s="257"/>
      <c r="EF12" s="257"/>
      <c r="EG12" s="257"/>
      <c r="EH12" s="257"/>
      <c r="EI12" s="257"/>
      <c r="EJ12" s="257"/>
      <c r="EK12" s="257"/>
      <c r="EL12" s="257"/>
      <c r="EM12" s="257"/>
      <c r="EN12" s="257"/>
      <c r="EO12" s="257"/>
      <c r="EP12" s="257"/>
      <c r="EQ12" s="257"/>
      <c r="ER12" s="257"/>
      <c r="ES12" s="257"/>
      <c r="ET12" s="257"/>
      <c r="EU12" s="257"/>
      <c r="EV12" s="257"/>
      <c r="EW12" s="257"/>
      <c r="EX12" s="257"/>
      <c r="EY12" s="257"/>
      <c r="EZ12" s="257"/>
      <c r="FA12" s="257"/>
      <c r="FB12" s="257"/>
      <c r="FC12" s="257"/>
      <c r="FD12" s="257"/>
      <c r="FE12" s="257"/>
      <c r="FF12" s="257"/>
      <c r="FG12" s="257"/>
      <c r="FH12" s="257"/>
      <c r="FI12" s="257"/>
      <c r="FJ12" s="257"/>
      <c r="FK12" s="257"/>
      <c r="FL12" s="257"/>
      <c r="FM12" s="257"/>
      <c r="FN12" s="257"/>
      <c r="FO12" s="257"/>
      <c r="FP12" s="257"/>
      <c r="FQ12" s="257"/>
      <c r="FR12" s="257"/>
      <c r="FS12" s="257"/>
      <c r="FT12" s="257"/>
      <c r="FU12" s="257"/>
      <c r="FV12" s="257"/>
      <c r="FW12" s="257"/>
      <c r="FX12" s="257"/>
      <c r="FY12" s="257"/>
      <c r="FZ12" s="257"/>
      <c r="GA12" s="257"/>
      <c r="GB12" s="257"/>
      <c r="GC12" s="257"/>
      <c r="GD12" s="257"/>
      <c r="GE12" s="257"/>
      <c r="GF12" s="257"/>
      <c r="GG12" s="257"/>
      <c r="GH12" s="257"/>
      <c r="GI12" s="257"/>
      <c r="GJ12" s="257"/>
      <c r="GK12" s="257"/>
      <c r="GL12" s="257"/>
      <c r="GM12" s="257"/>
      <c r="GN12" s="257"/>
      <c r="GO12" s="257"/>
      <c r="GP12" s="257"/>
      <c r="GQ12" s="257"/>
      <c r="GR12" s="257"/>
      <c r="GS12" s="257"/>
      <c r="GT12" s="257"/>
      <c r="GU12" s="257"/>
      <c r="GV12" s="257"/>
      <c r="GW12" s="257"/>
      <c r="GX12" s="257"/>
      <c r="GY12" s="257"/>
      <c r="GZ12" s="257"/>
      <c r="HA12" s="257"/>
      <c r="HB12" s="257"/>
      <c r="HC12" s="257"/>
      <c r="HD12" s="257"/>
      <c r="HE12" s="257"/>
      <c r="HF12" s="257"/>
      <c r="HG12" s="257"/>
      <c r="HH12" s="257"/>
      <c r="HI12" s="257"/>
      <c r="HJ12" s="257"/>
      <c r="HK12" s="257"/>
      <c r="HL12" s="257"/>
      <c r="HM12" s="257"/>
      <c r="HN12" s="257"/>
      <c r="HO12" s="257"/>
      <c r="HP12" s="257"/>
      <c r="HQ12" s="257"/>
      <c r="HR12" s="257"/>
      <c r="HS12" s="257"/>
      <c r="HT12" s="257"/>
    </row>
    <row r="13" spans="1:14" ht="12.75">
      <c r="A13" s="230">
        <v>12150</v>
      </c>
      <c r="B13" s="264" t="s">
        <v>68</v>
      </c>
      <c r="C13" s="232">
        <v>108734.46</v>
      </c>
      <c r="D13" s="232">
        <v>3298.12</v>
      </c>
      <c r="E13" s="254">
        <f>+'[3]TB12-31-01(A)'!G25</f>
        <v>10919.7</v>
      </c>
      <c r="F13" s="255">
        <f>+'[1]TB06-30-03(Final)'!F24</f>
        <v>11315.82</v>
      </c>
      <c r="G13" s="256">
        <f>-E13+F13</f>
        <v>396.119999999999</v>
      </c>
      <c r="H13" s="236"/>
      <c r="I13" s="236"/>
      <c r="J13" s="236"/>
      <c r="K13" s="236"/>
      <c r="L13" s="236">
        <f>G13</f>
        <v>396.119999999999</v>
      </c>
      <c r="M13" s="236"/>
      <c r="N13" s="236"/>
    </row>
    <row r="14" spans="2:14" ht="12.75">
      <c r="B14" s="232"/>
      <c r="C14" s="232"/>
      <c r="D14" s="232"/>
      <c r="E14" s="254"/>
      <c r="F14" s="255"/>
      <c r="G14" s="256" t="s">
        <v>176</v>
      </c>
      <c r="H14" s="236"/>
      <c r="I14" s="236"/>
      <c r="J14" s="236"/>
      <c r="K14" s="236"/>
      <c r="L14" s="236"/>
      <c r="M14" s="236"/>
      <c r="N14" s="236"/>
    </row>
    <row r="15" spans="1:14" ht="12.75">
      <c r="A15" s="258" t="s">
        <v>69</v>
      </c>
      <c r="C15" s="232"/>
      <c r="D15" s="232"/>
      <c r="E15" s="254"/>
      <c r="F15" s="255"/>
      <c r="G15" s="256" t="s">
        <v>176</v>
      </c>
      <c r="H15" s="236"/>
      <c r="I15" s="236"/>
      <c r="J15" s="236"/>
      <c r="K15" s="236"/>
      <c r="L15" s="236"/>
      <c r="M15" s="236"/>
      <c r="N15" s="236"/>
    </row>
    <row r="16" spans="1:14" ht="12.75">
      <c r="A16" s="230" t="s">
        <v>70</v>
      </c>
      <c r="B16" s="264" t="s">
        <v>71</v>
      </c>
      <c r="C16" s="232">
        <f>-405802.34</f>
        <v>-405802.34</v>
      </c>
      <c r="D16" s="232">
        <v>405802</v>
      </c>
      <c r="E16" s="254">
        <f>+'[3]TB12-31-01(A)'!G33</f>
        <v>11390.23</v>
      </c>
      <c r="F16" s="255">
        <f>+'[1]TB06-30-03(Final)'!G36</f>
        <v>2971.29</v>
      </c>
      <c r="G16" s="256">
        <f>-E16+F16</f>
        <v>-8418.939999999999</v>
      </c>
      <c r="H16" s="236"/>
      <c r="I16" s="236"/>
      <c r="J16" s="236"/>
      <c r="K16" s="236">
        <f>+G16</f>
        <v>-8418.939999999999</v>
      </c>
      <c r="L16" s="236"/>
      <c r="M16" s="236"/>
      <c r="N16" s="236"/>
    </row>
    <row r="17" spans="1:14" ht="12.75">
      <c r="A17" s="230" t="s">
        <v>72</v>
      </c>
      <c r="B17" s="232" t="s">
        <v>26</v>
      </c>
      <c r="C17" s="232">
        <v>68646.44</v>
      </c>
      <c r="D17" s="232">
        <v>0</v>
      </c>
      <c r="E17" s="254">
        <f>+'[3]TB12-31-01(A)'!G53</f>
        <v>46619.55000000002</v>
      </c>
      <c r="F17" s="255">
        <f>+'[1]TB06-30-03(Final)'!F41+'[1]TB06-30-03(Final)'!F42</f>
        <v>59251.36</v>
      </c>
      <c r="G17" s="256">
        <f>-E17+F17</f>
        <v>12631.809999999983</v>
      </c>
      <c r="H17" s="236"/>
      <c r="I17" s="236"/>
      <c r="J17" s="236"/>
      <c r="K17" s="236">
        <f>G17</f>
        <v>12631.809999999983</v>
      </c>
      <c r="L17" s="236"/>
      <c r="M17" s="236"/>
      <c r="N17" s="236"/>
    </row>
    <row r="18" spans="1:14" ht="12.75">
      <c r="A18" s="258" t="s">
        <v>73</v>
      </c>
      <c r="C18" s="232"/>
      <c r="D18" s="232"/>
      <c r="E18" s="254"/>
      <c r="F18" s="255"/>
      <c r="G18" s="256"/>
      <c r="H18" s="236"/>
      <c r="I18" s="236"/>
      <c r="J18" s="236"/>
      <c r="K18" s="236"/>
      <c r="L18" s="236"/>
      <c r="M18" s="236"/>
      <c r="N18" s="236"/>
    </row>
    <row r="19" spans="1:14" ht="12.75">
      <c r="A19" s="230" t="s">
        <v>74</v>
      </c>
      <c r="B19" s="232" t="s">
        <v>75</v>
      </c>
      <c r="C19" s="232">
        <f>-10779129.28+30843+17067</f>
        <v>-10731219.28</v>
      </c>
      <c r="D19" s="232">
        <f>8764-5500-17327.9-74-16458-247</f>
        <v>-30842.9</v>
      </c>
      <c r="E19" s="254">
        <f>+'[3]TB12-31-01(A)'!G111</f>
        <v>-6146418.700000001</v>
      </c>
      <c r="F19" s="255">
        <f>+'[1]TB06-30-03(Final)'!G115</f>
        <v>-5697722.210000001</v>
      </c>
      <c r="G19" s="256">
        <f>-E19+F19</f>
        <v>448696.4900000002</v>
      </c>
      <c r="H19" s="236"/>
      <c r="I19" s="236"/>
      <c r="J19" s="236">
        <f>G19</f>
        <v>448696.4900000002</v>
      </c>
      <c r="K19" s="236"/>
      <c r="L19" s="236"/>
      <c r="M19" s="236"/>
      <c r="N19" s="236"/>
    </row>
    <row r="20" spans="1:14" ht="12.75">
      <c r="A20" s="230">
        <v>25200</v>
      </c>
      <c r="B20" s="264" t="s">
        <v>76</v>
      </c>
      <c r="C20" s="232">
        <v>-21178.89</v>
      </c>
      <c r="D20" s="232">
        <v>0</v>
      </c>
      <c r="E20" s="254">
        <f>+'[3]TB12-31-01(A)'!F173</f>
        <v>0</v>
      </c>
      <c r="F20" s="255">
        <f>+'[1]TB06-30-03(Final)'!F186</f>
        <v>-28280.339999999997</v>
      </c>
      <c r="G20" s="256">
        <f>-E20+F20</f>
        <v>-28280.339999999997</v>
      </c>
      <c r="H20" s="236"/>
      <c r="I20" s="236"/>
      <c r="J20" s="261">
        <f>G20</f>
        <v>-28280.339999999997</v>
      </c>
      <c r="K20" s="236"/>
      <c r="L20" s="236"/>
      <c r="M20" s="236"/>
      <c r="N20" s="236"/>
    </row>
    <row r="21" spans="1:14" ht="12.75">
      <c r="A21" s="230" t="s">
        <v>77</v>
      </c>
      <c r="B21" s="232" t="s">
        <v>78</v>
      </c>
      <c r="C21" s="232">
        <v>0</v>
      </c>
      <c r="D21" s="232">
        <f>-1149-6966-51-100-2364-8244+1807</f>
        <v>-17067</v>
      </c>
      <c r="E21" s="254">
        <f>+'[3]TB12-31-01(A)'!G167</f>
        <v>-556689.1599999999</v>
      </c>
      <c r="F21" s="255">
        <f>+'[1]TB06-30-03(Final)'!G179</f>
        <v>-474063.79</v>
      </c>
      <c r="G21" s="256">
        <f>-E21+F21</f>
        <v>82625.36999999994</v>
      </c>
      <c r="H21" s="236"/>
      <c r="I21" s="236"/>
      <c r="J21" s="236">
        <f>G21</f>
        <v>82625.36999999994</v>
      </c>
      <c r="K21" s="236"/>
      <c r="L21" s="236"/>
      <c r="M21" s="236"/>
      <c r="N21" s="236"/>
    </row>
    <row r="22" spans="1:14" ht="12.75">
      <c r="A22" s="230">
        <v>25100</v>
      </c>
      <c r="B22" s="232" t="s">
        <v>79</v>
      </c>
      <c r="C22" s="232">
        <v>-2890.78</v>
      </c>
      <c r="D22" s="232">
        <v>0</v>
      </c>
      <c r="E22" s="254">
        <f>+'[3]TB12-31-01(A)'!F173</f>
        <v>0</v>
      </c>
      <c r="F22" s="255">
        <f>+'[1]TB06-30-03(Final)'!F185</f>
        <v>-4995.76</v>
      </c>
      <c r="G22" s="256">
        <f>-E22+F22</f>
        <v>-4995.76</v>
      </c>
      <c r="H22" s="236"/>
      <c r="I22" s="236"/>
      <c r="J22" s="261">
        <f>G22</f>
        <v>-4995.76</v>
      </c>
      <c r="K22" s="236"/>
      <c r="L22" s="236"/>
      <c r="M22" s="236"/>
      <c r="N22" s="236"/>
    </row>
    <row r="23" spans="2:14" ht="12.75" hidden="1">
      <c r="B23" s="232" t="s">
        <v>80</v>
      </c>
      <c r="C23" s="232">
        <v>0</v>
      </c>
      <c r="D23" s="232">
        <v>0</v>
      </c>
      <c r="E23" s="233"/>
      <c r="F23" s="251"/>
      <c r="G23" s="256">
        <f>-E23+F23-1</f>
        <v>-1</v>
      </c>
      <c r="H23" s="236"/>
      <c r="I23" s="236"/>
      <c r="J23" s="236"/>
      <c r="K23" s="236">
        <f>G23</f>
        <v>-1</v>
      </c>
      <c r="L23" s="236"/>
      <c r="M23" s="236"/>
      <c r="N23" s="236"/>
    </row>
    <row r="24" spans="1:14" ht="12.75">
      <c r="A24" s="230" t="s">
        <v>81</v>
      </c>
      <c r="B24" s="232" t="s">
        <v>82</v>
      </c>
      <c r="C24" s="232">
        <f>-365907-440984-293247</f>
        <v>-1100138</v>
      </c>
      <c r="D24" s="232">
        <v>-282.85</v>
      </c>
      <c r="E24" s="254">
        <f>+'[3]TB12-31-01(A)'!G187+'[3]TB12-31-01(A)'!G200+'[3]TB12-31-01(A)'!G220+'[3]TB12-31-01(A)'!G222</f>
        <v>-2100421.55</v>
      </c>
      <c r="F24" s="255">
        <f>+'[1]TB06-30-03(Final)'!G243</f>
        <v>0</v>
      </c>
      <c r="G24" s="256">
        <f>-E24+F24</f>
        <v>2100421.55</v>
      </c>
      <c r="H24" s="236"/>
      <c r="I24" s="236"/>
      <c r="J24" s="236"/>
      <c r="K24" s="236">
        <f>G24</f>
        <v>2100421.55</v>
      </c>
      <c r="L24" s="236"/>
      <c r="M24" s="236"/>
      <c r="N24" s="236"/>
    </row>
    <row r="25" spans="2:14" ht="12.75" hidden="1">
      <c r="B25" s="232" t="s">
        <v>83</v>
      </c>
      <c r="C25" s="232"/>
      <c r="D25" s="232"/>
      <c r="E25" s="233"/>
      <c r="F25" s="251"/>
      <c r="G25" s="256">
        <f>-E25+F25-1</f>
        <v>-1</v>
      </c>
      <c r="H25" s="236"/>
      <c r="I25" s="236"/>
      <c r="J25" s="236"/>
      <c r="K25" s="236"/>
      <c r="L25" s="236"/>
      <c r="M25" s="236"/>
      <c r="N25" s="236"/>
    </row>
    <row r="26" spans="1:14" ht="12.75">
      <c r="A26" s="230">
        <v>24000</v>
      </c>
      <c r="B26" s="232" t="s">
        <v>84</v>
      </c>
      <c r="C26" s="232">
        <v>-65000</v>
      </c>
      <c r="D26" s="232">
        <v>-2863.09</v>
      </c>
      <c r="E26" s="254">
        <f>+'[3]TB12-31-01(A)'!G170</f>
        <v>-44400</v>
      </c>
      <c r="F26" s="255">
        <f>+'[1]TB06-30-03(Final)'!F181</f>
        <v>-22966</v>
      </c>
      <c r="G26" s="256">
        <f>-E26+F26</f>
        <v>21434</v>
      </c>
      <c r="H26" s="236"/>
      <c r="I26" s="236"/>
      <c r="J26" s="236"/>
      <c r="K26" s="236">
        <f>G26</f>
        <v>21434</v>
      </c>
      <c r="L26" s="236"/>
      <c r="M26" s="236"/>
      <c r="N26" s="236"/>
    </row>
    <row r="27" spans="1:14" ht="12.75">
      <c r="A27" s="230">
        <v>21000</v>
      </c>
      <c r="B27" s="232" t="s">
        <v>85</v>
      </c>
      <c r="C27" s="232">
        <f>-7555422-263383-3714468-138071</f>
        <v>-11671344</v>
      </c>
      <c r="D27" s="232">
        <f>-109734-3298</f>
        <v>-113032</v>
      </c>
      <c r="E27" s="254">
        <f>+'[3]TB12-31-01(A)'!G66</f>
        <v>-8315559</v>
      </c>
      <c r="F27" s="255">
        <f>+'[1]TB06-30-03(Final)'!G61</f>
        <v>0</v>
      </c>
      <c r="G27" s="256">
        <f>-E27+F27</f>
        <v>8315559</v>
      </c>
      <c r="H27" s="236"/>
      <c r="I27" s="236">
        <f>+G27</f>
        <v>8315559</v>
      </c>
      <c r="J27" s="236"/>
      <c r="K27" s="261"/>
      <c r="L27" s="236"/>
      <c r="M27" s="236"/>
      <c r="N27" s="236"/>
    </row>
    <row r="28" spans="1:14" ht="12.75">
      <c r="A28" s="230">
        <v>28500</v>
      </c>
      <c r="B28" s="264" t="s">
        <v>160</v>
      </c>
      <c r="C28" s="232"/>
      <c r="D28" s="232"/>
      <c r="E28" s="254">
        <f>+'[3]TB12-31-01(A)'!G229</f>
        <v>-240240</v>
      </c>
      <c r="F28" s="255">
        <f>+'[1]TB06-30-03(Final)'!G247</f>
        <v>-356948</v>
      </c>
      <c r="G28" s="256">
        <f>-E28+F28</f>
        <v>-116708</v>
      </c>
      <c r="H28" s="236"/>
      <c r="I28" s="236">
        <f>+G28</f>
        <v>-116708</v>
      </c>
      <c r="J28" s="236"/>
      <c r="K28" s="261"/>
      <c r="L28" s="236"/>
      <c r="M28" s="236"/>
      <c r="N28" s="236"/>
    </row>
    <row r="29" spans="1:14" ht="12.75">
      <c r="A29" s="265" t="s">
        <v>86</v>
      </c>
      <c r="B29" s="232"/>
      <c r="C29" s="232"/>
      <c r="D29" s="232"/>
      <c r="E29" s="233"/>
      <c r="F29" s="251"/>
      <c r="G29" s="256"/>
      <c r="H29" s="236"/>
      <c r="I29" s="236"/>
      <c r="J29" s="236"/>
      <c r="K29" s="236"/>
      <c r="L29" s="236"/>
      <c r="M29" s="236"/>
      <c r="N29" s="236"/>
    </row>
    <row r="30" spans="1:14" ht="12.75">
      <c r="A30" s="230">
        <v>13200</v>
      </c>
      <c r="B30" s="264" t="s">
        <v>27</v>
      </c>
      <c r="C30" s="232"/>
      <c r="D30" s="232"/>
      <c r="E30" s="254">
        <v>0</v>
      </c>
      <c r="F30" s="255">
        <v>42501</v>
      </c>
      <c r="G30" s="256">
        <f>-E30+F30</f>
        <v>42501</v>
      </c>
      <c r="H30" s="236">
        <f>+G30</f>
        <v>42501</v>
      </c>
      <c r="I30" s="236"/>
      <c r="J30" s="236"/>
      <c r="K30" s="236">
        <v>0</v>
      </c>
      <c r="L30" s="236"/>
      <c r="M30" s="236"/>
      <c r="N30" s="236"/>
    </row>
    <row r="31" spans="1:14" ht="12.75">
      <c r="A31" s="230">
        <v>32000</v>
      </c>
      <c r="B31" s="264" t="s">
        <v>87</v>
      </c>
      <c r="C31" s="232">
        <v>-64505.8</v>
      </c>
      <c r="D31" s="232"/>
      <c r="E31" s="254">
        <f>+'[3]TB12-31-01(A)'!F241</f>
        <v>63918.22</v>
      </c>
      <c r="F31" s="255">
        <f>+'[1]TB06-30-03(Final)'!F258</f>
        <v>-65397.19</v>
      </c>
      <c r="G31" s="256">
        <f>-E31+F31</f>
        <v>-129315.41</v>
      </c>
      <c r="H31" s="236">
        <f>+G31</f>
        <v>-129315.41</v>
      </c>
      <c r="I31" s="236"/>
      <c r="J31" s="236"/>
      <c r="K31" s="236"/>
      <c r="L31" s="236"/>
      <c r="M31" s="236"/>
      <c r="N31" s="236"/>
    </row>
    <row r="32" spans="1:14" ht="12.75">
      <c r="A32" s="230">
        <v>34000</v>
      </c>
      <c r="B32" s="264" t="s">
        <v>88</v>
      </c>
      <c r="C32" s="264">
        <v>-11867367.35</v>
      </c>
      <c r="D32" s="232"/>
      <c r="E32" s="254">
        <f>+'[3]TB12-31-01(A)'!F255</f>
        <v>-36085826.63</v>
      </c>
      <c r="F32" s="255">
        <f>+'[1]TB06-30-03(Final)'!G269</f>
        <v>0</v>
      </c>
      <c r="G32" s="256">
        <f>-E32+F32</f>
        <v>36085826.63</v>
      </c>
      <c r="H32" s="236">
        <f>+G32</f>
        <v>36085826.63</v>
      </c>
      <c r="I32" s="236"/>
      <c r="J32" s="236"/>
      <c r="K32" s="236"/>
      <c r="L32" s="236"/>
      <c r="M32" s="236"/>
      <c r="N32" s="236"/>
    </row>
    <row r="33" spans="1:14" s="267" customFormat="1" ht="12.75">
      <c r="A33" s="266" t="s">
        <v>89</v>
      </c>
      <c r="B33" s="253" t="s">
        <v>90</v>
      </c>
      <c r="C33" s="253">
        <f>30255406.87+824731+61077+515806-3808639-5294150-1218298</f>
        <v>21335933.87</v>
      </c>
      <c r="D33" s="253">
        <v>-256245.49</v>
      </c>
      <c r="E33" s="254">
        <f>+'[3]TB12-31-01(A)'!G242+'[3]TB12-31-01(A)'!G249+'[3]TB12-31-01(A)'!G254-'[3]TB12-31-01(A)'!F241</f>
        <v>37523164.230000004</v>
      </c>
      <c r="F33" s="255" t="e">
        <f>+'[1]TB06-30-03(Final)'!G259+'[1]TB06-30-03(Final)'!#REF!+'[1]TB06-30-03(Final)'!#REF!-'[1]TB06-30-03(Final)'!F258</f>
        <v>#REF!</v>
      </c>
      <c r="G33" s="256" t="e">
        <f>-E33+F33</f>
        <v>#REF!</v>
      </c>
      <c r="H33" s="236"/>
      <c r="I33" s="236"/>
      <c r="J33" s="236"/>
      <c r="K33" s="236"/>
      <c r="L33" s="236"/>
      <c r="M33" s="236"/>
      <c r="N33" s="236"/>
    </row>
    <row r="34" spans="2:14" ht="12.75">
      <c r="B34" s="268"/>
      <c r="C34" s="232"/>
      <c r="D34" s="232"/>
      <c r="E34" s="233"/>
      <c r="F34" s="251"/>
      <c r="G34" s="256"/>
      <c r="H34" s="236"/>
      <c r="I34" s="236"/>
      <c r="J34" s="236"/>
      <c r="K34" s="236"/>
      <c r="L34" s="236"/>
      <c r="M34" s="236"/>
      <c r="N34" s="236"/>
    </row>
    <row r="35" spans="1:14" s="259" customFormat="1" ht="13.5" thickBot="1">
      <c r="A35" s="269" t="s">
        <v>91</v>
      </c>
      <c r="B35" s="260" t="s">
        <v>92</v>
      </c>
      <c r="C35" s="260">
        <f>SUM(C7:C33)</f>
        <v>-5493927.889999997</v>
      </c>
      <c r="D35" s="260">
        <f>SUM(D7:D33)</f>
        <v>71066.82</v>
      </c>
      <c r="E35" s="306">
        <f>SUM(E6:E34)</f>
        <v>-3715923.5600000024</v>
      </c>
      <c r="F35" s="307" t="e">
        <f>SUM(F6:F34)</f>
        <v>#REF!</v>
      </c>
      <c r="G35" s="308" t="e">
        <f>SUM(G7:G34)</f>
        <v>#REF!</v>
      </c>
      <c r="H35" s="261"/>
      <c r="I35" s="261"/>
      <c r="J35" s="261"/>
      <c r="K35" s="261"/>
      <c r="L35" s="261"/>
      <c r="M35" s="261"/>
      <c r="N35" s="261"/>
    </row>
    <row r="36" spans="1:14" s="259" customFormat="1" ht="13.5" thickBot="1">
      <c r="A36" s="260" t="s">
        <v>118</v>
      </c>
      <c r="C36" s="270">
        <f>C33+C30-C35+C31+C32</f>
        <v>14897988.609999998</v>
      </c>
      <c r="D36" s="270">
        <f>D33+D30-D35+D31</f>
        <v>-327312.31</v>
      </c>
      <c r="E36" s="271">
        <f>-'[4](10)Income Statement'!$E$37+2</f>
        <v>5217178.914600432</v>
      </c>
      <c r="F36" s="272">
        <f>+'Income Statement-p2'!E36</f>
        <v>-2372878.869999998</v>
      </c>
      <c r="G36" s="273">
        <f>+E36-F36</f>
        <v>7590057.784600429</v>
      </c>
      <c r="H36" s="274"/>
      <c r="I36" s="275"/>
      <c r="J36" s="261"/>
      <c r="K36" s="261"/>
      <c r="L36" s="261"/>
      <c r="M36" s="261"/>
      <c r="N36" s="261"/>
    </row>
    <row r="37" spans="1:14" ht="13.5" thickBot="1">
      <c r="A37" s="276" t="s">
        <v>113</v>
      </c>
      <c r="C37" s="232"/>
      <c r="D37" s="277"/>
      <c r="E37" s="278">
        <f>-'[3]Operations3'!G42</f>
        <v>5217178.944170429</v>
      </c>
      <c r="F37" s="279">
        <f>-'Equity YTD-p4'!G55</f>
        <v>2372880.0699999966</v>
      </c>
      <c r="G37" s="280">
        <f>-E37-F37</f>
        <v>-7590059.014170426</v>
      </c>
      <c r="H37" s="236"/>
      <c r="I37" s="236"/>
      <c r="J37" s="236"/>
      <c r="K37" s="236"/>
      <c r="L37" s="236"/>
      <c r="M37" s="236"/>
      <c r="N37" s="236"/>
    </row>
    <row r="38" spans="2:14" ht="13.5" hidden="1" thickBot="1">
      <c r="B38" s="232"/>
      <c r="C38" s="232"/>
      <c r="D38" s="232"/>
      <c r="E38" s="233" t="s">
        <v>176</v>
      </c>
      <c r="F38" s="234" t="s">
        <v>176</v>
      </c>
      <c r="G38" s="281" t="e">
        <f>E38-F38</f>
        <v>#VALUE!</v>
      </c>
      <c r="H38" s="236"/>
      <c r="I38" s="236"/>
      <c r="J38" s="236"/>
      <c r="K38" s="236"/>
      <c r="L38" s="236"/>
      <c r="M38" s="236"/>
      <c r="N38" s="236"/>
    </row>
    <row r="39" spans="2:14" ht="12.75">
      <c r="B39" s="232"/>
      <c r="C39" s="232"/>
      <c r="D39" s="232"/>
      <c r="E39" s="310">
        <v>2002</v>
      </c>
      <c r="F39" s="234" t="e">
        <f>+F35-F36</f>
        <v>#REF!</v>
      </c>
      <c r="G39" s="311">
        <f>+G36+G37</f>
        <v>-1.2295699967071414</v>
      </c>
      <c r="H39" s="236"/>
      <c r="I39" s="236"/>
      <c r="J39" s="236"/>
      <c r="K39" s="236"/>
      <c r="L39" s="236"/>
      <c r="M39" s="236"/>
      <c r="N39" s="236"/>
    </row>
    <row r="40" spans="1:14" ht="12.75">
      <c r="A40" s="230">
        <v>41000</v>
      </c>
      <c r="B40" s="232" t="s">
        <v>232</v>
      </c>
      <c r="C40" s="232">
        <v>-25340954.32</v>
      </c>
      <c r="D40" s="232">
        <v>-222277.35</v>
      </c>
      <c r="E40" s="233">
        <f>+'[1]TB06-30-03(Final)'!G297</f>
        <v>-10221860</v>
      </c>
      <c r="F40" s="234"/>
      <c r="G40" s="256"/>
      <c r="H40" s="236"/>
      <c r="I40" s="236">
        <f>+E40</f>
        <v>-10221860</v>
      </c>
      <c r="J40" s="236"/>
      <c r="K40" s="236"/>
      <c r="L40" s="236"/>
      <c r="M40" s="236"/>
      <c r="N40" s="236"/>
    </row>
    <row r="41" spans="1:14" ht="12.75">
      <c r="A41" s="230">
        <v>41100</v>
      </c>
      <c r="B41" s="232" t="s">
        <v>93</v>
      </c>
      <c r="C41" s="232">
        <f>-6853826+7555422+263383-3362932+3714468+138071</f>
        <v>1454586</v>
      </c>
      <c r="D41" s="232">
        <f>-122993+109734+3298</f>
        <v>-9961</v>
      </c>
      <c r="E41" s="233">
        <f>+'[1]TB06-30-03(Final)'!G314</f>
        <v>1146561</v>
      </c>
      <c r="F41" s="234"/>
      <c r="G41" s="256"/>
      <c r="H41" s="236"/>
      <c r="I41" s="236">
        <f>+E41</f>
        <v>1146561</v>
      </c>
      <c r="J41" s="236"/>
      <c r="K41" s="236"/>
      <c r="L41" s="236"/>
      <c r="M41" s="236"/>
      <c r="N41" s="236"/>
    </row>
    <row r="42" spans="1:14" ht="12.75">
      <c r="A42" s="230">
        <v>51100</v>
      </c>
      <c r="B42" s="232" t="s">
        <v>94</v>
      </c>
      <c r="C42" s="232">
        <v>21993234</v>
      </c>
      <c r="D42" s="232">
        <f>7064.38+43245.59+12054.32</f>
        <v>62364.28999999999</v>
      </c>
      <c r="E42" s="233">
        <f>+'[1]TB06-30-03(Final)'!G357</f>
        <v>0</v>
      </c>
      <c r="F42" s="234"/>
      <c r="G42" s="256"/>
      <c r="H42" s="236"/>
      <c r="I42" s="236"/>
      <c r="J42" s="236">
        <f>E42</f>
        <v>0</v>
      </c>
      <c r="K42" s="236"/>
      <c r="L42" s="236"/>
      <c r="M42" s="236"/>
      <c r="N42" s="236"/>
    </row>
    <row r="43" spans="1:14" ht="12.75">
      <c r="A43" s="230">
        <v>51200</v>
      </c>
      <c r="B43" s="232" t="s">
        <v>95</v>
      </c>
      <c r="C43" s="232">
        <v>1822291.72</v>
      </c>
      <c r="D43" s="232">
        <f>1708.45+7443.93+3705.34</f>
        <v>12857.720000000001</v>
      </c>
      <c r="E43" s="233">
        <f>+'[1]TB06-30-03(Final)'!G455</f>
        <v>571547.5499999999</v>
      </c>
      <c r="F43" s="234"/>
      <c r="G43" s="256"/>
      <c r="H43" s="236"/>
      <c r="I43" s="236"/>
      <c r="J43" s="236">
        <f>E43</f>
        <v>571547.5499999999</v>
      </c>
      <c r="K43" s="236"/>
      <c r="L43" s="236"/>
      <c r="M43" s="236"/>
      <c r="N43" s="236"/>
    </row>
    <row r="44" spans="1:14" ht="12.75">
      <c r="A44" s="230">
        <v>51300</v>
      </c>
      <c r="B44" s="232" t="s">
        <v>96</v>
      </c>
      <c r="C44" s="260">
        <v>587042</v>
      </c>
      <c r="D44" s="232">
        <v>7208</v>
      </c>
      <c r="E44" s="233">
        <f>+'[1]TB06-30-03(Final)'!G497</f>
        <v>241058.48999999996</v>
      </c>
      <c r="F44" s="234"/>
      <c r="G44" s="256"/>
      <c r="H44" s="236"/>
      <c r="I44" s="236"/>
      <c r="J44" s="236">
        <f>E44</f>
        <v>241058.48999999996</v>
      </c>
      <c r="K44" s="236"/>
      <c r="L44" s="236"/>
      <c r="M44" s="236"/>
      <c r="N44" s="236"/>
    </row>
    <row r="45" spans="1:14" ht="12.75">
      <c r="A45" s="230">
        <v>51130</v>
      </c>
      <c r="B45" s="264" t="s">
        <v>97</v>
      </c>
      <c r="C45" s="232">
        <v>-528744</v>
      </c>
      <c r="D45" s="232">
        <v>0</v>
      </c>
      <c r="E45" s="233">
        <f>+'[1]TB06-30-03(Final)'!G376</f>
        <v>-53668.880000000005</v>
      </c>
      <c r="F45" s="234"/>
      <c r="G45" s="256"/>
      <c r="H45" s="236"/>
      <c r="I45" s="236"/>
      <c r="J45" s="236">
        <f>E45</f>
        <v>-53668.880000000005</v>
      </c>
      <c r="K45" s="236"/>
      <c r="L45" s="236"/>
      <c r="M45" s="236"/>
      <c r="N45" s="236"/>
    </row>
    <row r="46" spans="1:14" ht="12.75">
      <c r="A46" s="230" t="s">
        <v>116</v>
      </c>
      <c r="B46" s="232" t="s">
        <v>98</v>
      </c>
      <c r="C46" s="263">
        <f>-400062+54830</f>
        <v>-345232</v>
      </c>
      <c r="D46" s="232">
        <f>-14500-400+17328-3823-14324+16458+247-3643-2749+6966+51+8244</f>
        <v>9855</v>
      </c>
      <c r="E46" s="233">
        <f>+'[1]TB06-30-03(Final)'!G429+'[1]TB06-30-03(Final)'!G477+'[1]TB06-30-03(Final)'!G517-2</f>
        <v>109470.06999999985</v>
      </c>
      <c r="F46" s="234"/>
      <c r="G46" s="256"/>
      <c r="H46" s="236"/>
      <c r="I46" s="236"/>
      <c r="J46" s="236">
        <f>E46</f>
        <v>109470.06999999985</v>
      </c>
      <c r="K46" s="236"/>
      <c r="L46" s="236"/>
      <c r="M46" s="236"/>
      <c r="N46" s="236"/>
    </row>
    <row r="47" spans="1:14" ht="12.75">
      <c r="A47" s="230" t="s">
        <v>117</v>
      </c>
      <c r="B47" s="232" t="s">
        <v>99</v>
      </c>
      <c r="C47" s="232">
        <f>4908824.05-587042-65000+6991.21</f>
        <v>4263773.26</v>
      </c>
      <c r="D47" s="232">
        <v>56632</v>
      </c>
      <c r="E47" s="282">
        <f>+'Earned Incurred YTD-p6'!C38+'Earned Incurred YTD-p6'!C39+'Earned Incurred YTD-p6'!C43-CashFlow!E50-CashFlow!E51</f>
        <v>4293491.739999997</v>
      </c>
      <c r="F47" s="283"/>
      <c r="G47" s="284"/>
      <c r="H47" s="236"/>
      <c r="I47" s="236"/>
      <c r="J47" s="236"/>
      <c r="K47" s="236">
        <f>E47</f>
        <v>4293491.739999997</v>
      </c>
      <c r="L47" s="236"/>
      <c r="M47" s="236"/>
      <c r="N47" s="236"/>
    </row>
    <row r="48" spans="1:14" ht="12.75">
      <c r="A48" s="230" t="s">
        <v>114</v>
      </c>
      <c r="B48" s="232" t="s">
        <v>100</v>
      </c>
      <c r="C48" s="232">
        <v>2392335</v>
      </c>
      <c r="D48" s="232">
        <f>7452-15+188.5+24894.2+329.8-672.25</f>
        <v>32177.25</v>
      </c>
      <c r="E48" s="233">
        <f>+'[1]TB06-30-03(Final)'!G564</f>
        <v>918359.2999999999</v>
      </c>
      <c r="F48" s="234"/>
      <c r="G48" s="256"/>
      <c r="H48" s="236"/>
      <c r="I48" s="236"/>
      <c r="J48" s="236"/>
      <c r="K48" s="236">
        <f>E48</f>
        <v>918359.2999999999</v>
      </c>
      <c r="L48" s="236"/>
      <c r="M48" s="236"/>
      <c r="N48" s="236"/>
    </row>
    <row r="49" spans="1:14" ht="12.75">
      <c r="A49" s="230">
        <v>64000</v>
      </c>
      <c r="B49" s="232" t="s">
        <v>101</v>
      </c>
      <c r="C49" s="260">
        <f>-6991.21+65000</f>
        <v>58008.79</v>
      </c>
      <c r="D49" s="232">
        <f>2321.06+452.5+92.01-2.48</f>
        <v>2863.09</v>
      </c>
      <c r="E49" s="233">
        <f>+'[1]TB06-30-03(Final)'!G576</f>
        <v>57630</v>
      </c>
      <c r="F49" s="234"/>
      <c r="G49" s="256"/>
      <c r="H49" s="236"/>
      <c r="I49" s="236"/>
      <c r="J49" s="236"/>
      <c r="K49" s="236">
        <f>E49</f>
        <v>57630</v>
      </c>
      <c r="L49" s="236"/>
      <c r="M49" s="236"/>
      <c r="N49" s="236"/>
    </row>
    <row r="50" spans="1:14" ht="12.75">
      <c r="A50" s="230">
        <v>80000</v>
      </c>
      <c r="B50" s="232" t="s">
        <v>102</v>
      </c>
      <c r="C50" s="232">
        <v>5264.11</v>
      </c>
      <c r="D50" s="232">
        <v>-27.5</v>
      </c>
      <c r="E50" s="254">
        <f>+'[1]TB06-30-03(Final)'!F929+'[1]TB6-30-03 (Pre)'!F928</f>
        <v>-3437.89</v>
      </c>
      <c r="F50" s="285"/>
      <c r="G50" s="256"/>
      <c r="H50" s="236"/>
      <c r="I50" s="236">
        <f>+E50</f>
        <v>-3437.89</v>
      </c>
      <c r="J50" s="236"/>
      <c r="K50" s="236"/>
      <c r="L50" s="236"/>
      <c r="M50" s="236"/>
      <c r="N50" s="236"/>
    </row>
    <row r="51" spans="1:14" ht="12.75">
      <c r="A51" s="230">
        <v>80150</v>
      </c>
      <c r="B51" s="232" t="s">
        <v>103</v>
      </c>
      <c r="C51" s="232">
        <v>-35577.27</v>
      </c>
      <c r="D51" s="232">
        <v>0</v>
      </c>
      <c r="E51" s="254">
        <f>+'[1]TB06-30-03(Final)'!F932</f>
        <v>-6995.7</v>
      </c>
      <c r="F51" s="285"/>
      <c r="G51" s="256"/>
      <c r="H51" s="236"/>
      <c r="I51" s="236"/>
      <c r="J51" s="236"/>
      <c r="K51" s="236">
        <f>+E51</f>
        <v>-6995.7</v>
      </c>
      <c r="L51" s="236"/>
      <c r="M51" s="236"/>
      <c r="N51" s="236"/>
    </row>
    <row r="52" spans="1:14" ht="12.75">
      <c r="A52" s="230">
        <v>42000</v>
      </c>
      <c r="B52" s="232" t="s">
        <v>158</v>
      </c>
      <c r="C52" s="232">
        <v>-832021.88</v>
      </c>
      <c r="D52" s="232">
        <v>-22758.51</v>
      </c>
      <c r="E52" s="233">
        <f>+'[1]TB06-30-03(Final)'!G332</f>
        <v>-61536.52</v>
      </c>
      <c r="F52" s="234"/>
      <c r="G52" s="256"/>
      <c r="H52" s="236"/>
      <c r="I52" s="236"/>
      <c r="J52" s="236"/>
      <c r="K52" s="236"/>
      <c r="L52" s="236">
        <f>+E52</f>
        <v>-61536.52</v>
      </c>
      <c r="M52" s="236"/>
      <c r="N52" s="236"/>
    </row>
    <row r="53" spans="2:14" ht="12.75">
      <c r="B53" s="232"/>
      <c r="C53" s="232"/>
      <c r="D53" s="232"/>
      <c r="E53" s="233"/>
      <c r="F53" s="234"/>
      <c r="G53" s="256"/>
      <c r="H53" s="236"/>
      <c r="I53" s="236"/>
      <c r="J53" s="236"/>
      <c r="K53" s="236"/>
      <c r="L53" s="236"/>
      <c r="M53" s="236"/>
      <c r="N53" s="236"/>
    </row>
    <row r="54" spans="1:14" s="259" customFormat="1" ht="12.75">
      <c r="A54" s="269"/>
      <c r="B54" s="260" t="s">
        <v>104</v>
      </c>
      <c r="C54" s="260">
        <f>SUM(C40:C52)</f>
        <v>5494005.41</v>
      </c>
      <c r="D54" s="260">
        <f>SUM(D40:D52)</f>
        <v>-71067.01</v>
      </c>
      <c r="E54" s="233">
        <f>SUM(E40:E52)</f>
        <v>-3009380.8400000017</v>
      </c>
      <c r="F54" s="260">
        <f>SUM(F40:F52)</f>
        <v>0</v>
      </c>
      <c r="G54" s="256"/>
      <c r="H54" s="261"/>
      <c r="I54" s="261"/>
      <c r="J54" s="261"/>
      <c r="K54" s="261"/>
      <c r="L54" s="261"/>
      <c r="M54" s="261"/>
      <c r="N54" s="261"/>
    </row>
    <row r="55" spans="1:14" s="259" customFormat="1" ht="13.5" thickBot="1">
      <c r="A55" s="269" t="s">
        <v>115</v>
      </c>
      <c r="B55" s="260"/>
      <c r="C55" s="260"/>
      <c r="D55" s="260"/>
      <c r="E55" s="286">
        <f>+'[1]TB06-30-03(Final)'!G949</f>
        <v>-1803531.0900000038</v>
      </c>
      <c r="F55" s="287"/>
      <c r="G55" s="288">
        <f>SUM(H55:M55)</f>
        <v>39355221.74000001</v>
      </c>
      <c r="H55" s="309">
        <f>SUM(H30:H54)</f>
        <v>35999012.220000006</v>
      </c>
      <c r="I55" s="289">
        <f>SUM(I7:I54)</f>
        <v>-961538.0299999997</v>
      </c>
      <c r="J55" s="309">
        <f>SUM(J7:J54)</f>
        <v>1366452.9899999998</v>
      </c>
      <c r="K55" s="309">
        <f>SUM(K7:K54)</f>
        <v>7388552.759999997</v>
      </c>
      <c r="L55" s="309">
        <f>SUM(L7:L54)</f>
        <v>-61140.399999999994</v>
      </c>
      <c r="M55" s="309">
        <f>SUM(M7:M54)</f>
        <v>-4376117.800000001</v>
      </c>
      <c r="N55" s="236"/>
    </row>
    <row r="56" spans="3:13" ht="12.75">
      <c r="C56" s="290"/>
      <c r="D56" s="290"/>
      <c r="E56" s="291">
        <f>+E54+E55</f>
        <v>-4812911.930000005</v>
      </c>
      <c r="F56" s="292">
        <f>+F54-F55</f>
        <v>0</v>
      </c>
      <c r="G56" s="293">
        <f>SUM(H55:M55)</f>
        <v>39355221.74000001</v>
      </c>
      <c r="H56" s="294" t="s">
        <v>105</v>
      </c>
      <c r="I56" s="294" t="s">
        <v>106</v>
      </c>
      <c r="J56" s="294" t="s">
        <v>107</v>
      </c>
      <c r="K56" s="294" t="s">
        <v>108</v>
      </c>
      <c r="L56" s="294" t="s">
        <v>109</v>
      </c>
      <c r="M56" s="294" t="s">
        <v>110</v>
      </c>
    </row>
    <row r="57" spans="3:12" ht="12.75">
      <c r="C57" s="290"/>
      <c r="D57" s="290"/>
      <c r="E57" s="296"/>
      <c r="F57" s="297"/>
      <c r="G57" s="298"/>
      <c r="H57" s="299"/>
      <c r="I57" s="236">
        <f>+'[4](9)Equity YTD-p4'!$I$9</f>
        <v>41000</v>
      </c>
      <c r="J57" s="236">
        <f>SUM('[4](9)Equity YTD-p4'!$H$14:$H$16)</f>
        <v>17527631.66</v>
      </c>
      <c r="K57" s="300">
        <f>SUM('[4](9)Equity YTD-p4'!$H$17:$H$22)</f>
        <v>5348467.759999999</v>
      </c>
      <c r="L57" s="301">
        <f>+'[4](9)Equity YTD-p4'!$H$10</f>
        <v>422680.17999999993</v>
      </c>
    </row>
    <row r="58" spans="3:8" ht="12.75">
      <c r="C58" s="290"/>
      <c r="D58" s="290"/>
      <c r="E58" s="291"/>
      <c r="F58" s="297"/>
      <c r="G58" s="302"/>
      <c r="H58" s="299"/>
    </row>
    <row r="59" spans="3:11" ht="12.75">
      <c r="C59" s="290"/>
      <c r="D59" s="290"/>
      <c r="E59" s="291"/>
      <c r="F59" s="297"/>
      <c r="G59" s="302"/>
      <c r="H59" s="299"/>
      <c r="I59" s="300">
        <f>+I55+I57</f>
        <v>-920538.0299999997</v>
      </c>
      <c r="J59" s="300">
        <f>+J55-J57</f>
        <v>-16161178.67</v>
      </c>
      <c r="K59" s="300">
        <f>+K55-K57</f>
        <v>2040084.9999999981</v>
      </c>
    </row>
    <row r="60" spans="3:8" ht="12.75">
      <c r="C60" s="290"/>
      <c r="D60" s="290"/>
      <c r="E60" s="291"/>
      <c r="F60" s="297"/>
      <c r="G60" s="302"/>
      <c r="H60" s="299"/>
    </row>
    <row r="61" spans="3:10" ht="12.75">
      <c r="C61" s="290"/>
      <c r="D61" s="290"/>
      <c r="E61" s="296"/>
      <c r="F61" s="297"/>
      <c r="G61" s="302"/>
      <c r="H61" s="299"/>
      <c r="I61" s="300">
        <f>+I11+I50</f>
        <v>-85090.03000000001</v>
      </c>
      <c r="J61" s="300">
        <f>+J20+J22</f>
        <v>-33276.1</v>
      </c>
    </row>
    <row r="62" spans="3:10" ht="12.75">
      <c r="C62" s="290"/>
      <c r="D62" s="290"/>
      <c r="E62" s="296"/>
      <c r="F62" s="297"/>
      <c r="G62" s="302"/>
      <c r="H62" s="299"/>
      <c r="J62" s="303" t="s">
        <v>111</v>
      </c>
    </row>
  </sheetData>
  <printOptions gridLines="1"/>
  <pageMargins left="0.75" right="0.75" top="0.49" bottom="0.25" header="0.3" footer="0.5"/>
  <pageSetup horizontalDpi="300" verticalDpi="300" orientation="landscape" scale="75" r:id="rId1"/>
</worksheet>
</file>

<file path=xl/worksheets/sheet10.xml><?xml version="1.0" encoding="utf-8"?>
<worksheet xmlns="http://schemas.openxmlformats.org/spreadsheetml/2006/main" xmlns:r="http://schemas.openxmlformats.org/officeDocument/2006/relationships">
  <dimension ref="A1:I45"/>
  <sheetViews>
    <sheetView zoomScale="75" zoomScaleNormal="75" workbookViewId="0" topLeftCell="A4">
      <selection activeCell="B17" sqref="B17"/>
    </sheetView>
  </sheetViews>
  <sheetFormatPr defaultColWidth="9.140625" defaultRowHeight="12.75"/>
  <cols>
    <col min="1" max="1" width="44.00390625" style="15" customWidth="1"/>
    <col min="2" max="3" width="19.7109375" style="86" customWidth="1"/>
    <col min="4" max="4" width="19.140625" style="70" customWidth="1"/>
    <col min="5" max="5" width="18.57421875" style="70" customWidth="1"/>
    <col min="6" max="6" width="18.28125" style="70" customWidth="1"/>
    <col min="7" max="7" width="20.140625" style="70" customWidth="1"/>
    <col min="8" max="8" width="18.421875" style="15" customWidth="1"/>
    <col min="9" max="9" width="14.57421875" style="15" bestFit="1" customWidth="1"/>
    <col min="10" max="10" width="18.57421875" style="15" bestFit="1" customWidth="1"/>
    <col min="11" max="16384" width="9.140625" style="15" customWidth="1"/>
  </cols>
  <sheetData>
    <row r="1" spans="1:7" s="115" customFormat="1" ht="27">
      <c r="A1" s="114" t="s">
        <v>166</v>
      </c>
      <c r="B1" s="123"/>
      <c r="C1" s="123"/>
      <c r="D1" s="148"/>
      <c r="E1" s="148"/>
      <c r="F1" s="148"/>
      <c r="G1" s="149"/>
    </row>
    <row r="2" spans="1:7" ht="19.5" customHeight="1">
      <c r="A2" s="16"/>
      <c r="B2" s="124"/>
      <c r="C2" s="124"/>
      <c r="D2" s="150"/>
      <c r="E2" s="150"/>
      <c r="F2" s="124"/>
      <c r="G2" s="124"/>
    </row>
    <row r="3" spans="1:7" s="52" customFormat="1" ht="18.75">
      <c r="A3" s="51" t="s">
        <v>284</v>
      </c>
      <c r="B3" s="126"/>
      <c r="C3" s="126"/>
      <c r="D3" s="151"/>
      <c r="E3" s="151"/>
      <c r="F3" s="152"/>
      <c r="G3" s="124"/>
    </row>
    <row r="4" spans="1:7" s="52" customFormat="1" ht="18.75">
      <c r="A4" s="51" t="str">
        <f>+'Premiums YTD-p8'!A4</f>
        <v>YTD PERIOD ENDED DECEMBER 31, 2003</v>
      </c>
      <c r="B4" s="126"/>
      <c r="C4" s="126"/>
      <c r="D4" s="151"/>
      <c r="E4" s="151"/>
      <c r="F4" s="153"/>
      <c r="G4" s="124"/>
    </row>
    <row r="5" spans="1:7" s="52" customFormat="1" ht="16.5">
      <c r="A5" s="25"/>
      <c r="B5" s="126"/>
      <c r="C5" s="126"/>
      <c r="D5" s="124"/>
      <c r="E5" s="124"/>
      <c r="F5" s="152"/>
      <c r="G5" s="152"/>
    </row>
    <row r="6" spans="1:7" ht="30" customHeight="1">
      <c r="A6" s="53"/>
      <c r="B6" s="127" t="s">
        <v>32</v>
      </c>
      <c r="C6" s="127" t="s">
        <v>33</v>
      </c>
      <c r="D6" s="146" t="s">
        <v>139</v>
      </c>
      <c r="E6" s="146" t="s">
        <v>154</v>
      </c>
      <c r="F6" s="146" t="s">
        <v>131</v>
      </c>
      <c r="G6" s="147" t="s">
        <v>167</v>
      </c>
    </row>
    <row r="7" spans="1:7" ht="15.75">
      <c r="A7" s="54" t="s">
        <v>285</v>
      </c>
      <c r="D7" s="154"/>
      <c r="E7" s="154"/>
      <c r="F7" s="154"/>
      <c r="G7" s="154"/>
    </row>
    <row r="8" spans="1:8" ht="15">
      <c r="A8" s="54" t="s">
        <v>286</v>
      </c>
      <c r="B8" s="128"/>
      <c r="C8" s="128"/>
      <c r="D8" s="154"/>
      <c r="E8" s="154"/>
      <c r="F8" s="154"/>
      <c r="G8" s="154"/>
      <c r="H8" s="65"/>
    </row>
    <row r="9" spans="1:8" ht="14.25">
      <c r="A9" s="55" t="s">
        <v>287</v>
      </c>
      <c r="B9" s="68">
        <f>+'[1]TB06-30-03(Final)'!F343</f>
        <v>221805.4</v>
      </c>
      <c r="C9" s="68">
        <f>+'[1]TB06-30-03(Final)'!F342</f>
        <v>5660240</v>
      </c>
      <c r="D9" s="68">
        <f>+'[1]TB06-30-03(Final)'!F341</f>
        <v>480103.75</v>
      </c>
      <c r="E9" s="68">
        <f>+'[1]TB06-30-03(Final)'!F340</f>
        <v>51024.15</v>
      </c>
      <c r="F9" s="68">
        <f>SUM('[1]TB06-30-03(Final)'!F336:F339)+'[1]TB06-30-03(Final)'!G367</f>
        <v>-28611.47</v>
      </c>
      <c r="G9" s="68">
        <f>SUM(B9:F9)</f>
        <v>6384561.830000001</v>
      </c>
      <c r="H9" s="24" t="s">
        <v>162</v>
      </c>
    </row>
    <row r="10" spans="1:8" s="22" customFormat="1" ht="14.25">
      <c r="A10" s="56" t="s">
        <v>288</v>
      </c>
      <c r="B10" s="134">
        <f>+'[1]TB06-30-03(Final)'!F350</f>
        <v>49292.74</v>
      </c>
      <c r="C10" s="134">
        <f>+'[1]TB06-30-03(Final)'!D349+'[1]TB06-30-03(Final)'!F375</f>
        <v>215068.41999999998</v>
      </c>
      <c r="D10" s="134">
        <f>+'[1]TB06-30-03(Final)'!F348+'[1]TB06-30-03(Final)'!F374</f>
        <v>61900.079999999994</v>
      </c>
      <c r="E10" s="134">
        <f>+'[1]TB06-30-03(Final)'!F347</f>
        <v>8309.83</v>
      </c>
      <c r="F10" s="134">
        <f>SUM('[1]TB06-30-03(Final)'!F344:F346)+'[1]TB06-30-03(Final)'!G372</f>
        <v>1840.46</v>
      </c>
      <c r="G10" s="155">
        <f>SUM(B10:F10)</f>
        <v>336411.53</v>
      </c>
      <c r="H10" s="24" t="s">
        <v>163</v>
      </c>
    </row>
    <row r="11" spans="1:8" s="22" customFormat="1" ht="14.25">
      <c r="A11" s="56" t="s">
        <v>1</v>
      </c>
      <c r="B11" s="134">
        <f>+'[1]TB06-30-03(Final)'!D356</f>
        <v>0</v>
      </c>
      <c r="C11" s="134">
        <f>+'[1]TB06-30-03(Final)'!F355</f>
        <v>8390.38</v>
      </c>
      <c r="D11" s="134">
        <f>+'[1]TB06-30-03(Final)'!F354</f>
        <v>0</v>
      </c>
      <c r="E11" s="134">
        <f>+'[1]TB06-30-03(Final)'!F353</f>
        <v>0</v>
      </c>
      <c r="F11" s="134">
        <f>+'[1]TB06-30-03(Final)'!F352</f>
        <v>0</v>
      </c>
      <c r="G11" s="155">
        <f>SUM(B11:F11)</f>
        <v>8390.38</v>
      </c>
      <c r="H11" s="24" t="s">
        <v>164</v>
      </c>
    </row>
    <row r="12" spans="1:8" s="22" customFormat="1" ht="15.75" thickBot="1">
      <c r="A12" s="57" t="s">
        <v>277</v>
      </c>
      <c r="B12" s="80">
        <f aca="true" t="shared" si="0" ref="B12:G12">SUM(B9:B11)</f>
        <v>271098.14</v>
      </c>
      <c r="C12" s="80">
        <f t="shared" si="0"/>
        <v>5883698.8</v>
      </c>
      <c r="D12" s="156">
        <f t="shared" si="0"/>
        <v>542003.83</v>
      </c>
      <c r="E12" s="156">
        <f t="shared" si="0"/>
        <v>59333.98</v>
      </c>
      <c r="F12" s="156">
        <f t="shared" si="0"/>
        <v>-26771.010000000002</v>
      </c>
      <c r="G12" s="72">
        <f t="shared" si="0"/>
        <v>6729363.740000001</v>
      </c>
      <c r="H12" s="22">
        <f>+'[1]TB06-30-03(Final)'!E379</f>
        <v>3815692.150000001</v>
      </c>
    </row>
    <row r="13" spans="1:8" s="22" customFormat="1" ht="15" thickTop="1">
      <c r="A13" s="55"/>
      <c r="B13" s="69"/>
      <c r="C13" s="69"/>
      <c r="D13" s="155"/>
      <c r="E13" s="155"/>
      <c r="F13" s="155"/>
      <c r="G13" s="155"/>
      <c r="H13" s="22">
        <f>+G12-H12</f>
        <v>2913671.5900000003</v>
      </c>
    </row>
    <row r="14" spans="1:7" s="22" customFormat="1" ht="15">
      <c r="A14" s="54" t="s">
        <v>132</v>
      </c>
      <c r="B14" s="69"/>
      <c r="C14" s="69"/>
      <c r="D14" s="155"/>
      <c r="E14" s="155"/>
      <c r="F14" s="155"/>
      <c r="G14" s="155"/>
    </row>
    <row r="15" spans="1:7" s="22" customFormat="1" ht="14.25">
      <c r="A15" s="55" t="s">
        <v>2</v>
      </c>
      <c r="B15" s="155">
        <f>+'[1](1)IBNR Cal-p13'!D26</f>
        <v>2807761.84</v>
      </c>
      <c r="C15" s="155">
        <f>+'[1](1)IBNR Cal-p13'!E26</f>
        <v>3297459.7516644</v>
      </c>
      <c r="D15" s="155">
        <f>+'[1](1)IBNR Cal-p13'!E20</f>
        <v>106032.46</v>
      </c>
      <c r="E15" s="155">
        <f>+'[1](1)IBNR Cal-p13'!E14</f>
        <v>82022</v>
      </c>
      <c r="F15" s="155">
        <f>+'[1](1)IBNR Cal-p13'!E8</f>
        <v>88329.03</v>
      </c>
      <c r="G15" s="155">
        <f>SUM(B15:F15)</f>
        <v>6381605.0816644</v>
      </c>
    </row>
    <row r="16" spans="1:7" s="22" customFormat="1" ht="14.25">
      <c r="A16" s="55" t="s">
        <v>3</v>
      </c>
      <c r="B16" s="155">
        <f>+'[1](1)IBNR Cal-p13'!D27</f>
        <v>227947</v>
      </c>
      <c r="C16" s="155">
        <f>+'[1](1)IBNR Cal-p13'!E27</f>
        <v>405480.2822427551</v>
      </c>
      <c r="D16" s="155">
        <f>+'[1](1)IBNR Cal-p13'!E21</f>
        <v>19521.36</v>
      </c>
      <c r="E16" s="155">
        <f>+'[1](1)IBNR Cal-p13'!E15</f>
        <v>7</v>
      </c>
      <c r="F16" s="155">
        <f>+'[1](1)IBNR Cal-p13'!E9</f>
        <v>368.82</v>
      </c>
      <c r="G16" s="155">
        <f>SUM(B16:F16)</f>
        <v>653324.4622427551</v>
      </c>
    </row>
    <row r="17" spans="1:7" s="22" customFormat="1" ht="14.25">
      <c r="A17" s="55" t="s">
        <v>4</v>
      </c>
      <c r="B17" s="155">
        <f>+'[1](1)IBNR Cal-p13'!D28</f>
        <v>0</v>
      </c>
      <c r="C17" s="155">
        <f>+'[1](1)IBNR Cal-p13'!E28</f>
        <v>3082.743594085453</v>
      </c>
      <c r="D17" s="155">
        <f>+'[1](1)IBNR Cal-p13'!E22</f>
        <v>0</v>
      </c>
      <c r="E17" s="155">
        <f>+'[1](1)IBNR Cal-p13'!E16</f>
        <v>0</v>
      </c>
      <c r="F17" s="155">
        <f>+'[1](1)IBNR Cal-p13'!E10</f>
        <v>0</v>
      </c>
      <c r="G17" s="155">
        <f>SUM(B17:F17)</f>
        <v>3082.743594085453</v>
      </c>
    </row>
    <row r="18" spans="1:8" s="22" customFormat="1" ht="15">
      <c r="A18" s="57" t="s">
        <v>277</v>
      </c>
      <c r="B18" s="80">
        <f>SUM(B15:B17)+1</f>
        <v>3035709.84</v>
      </c>
      <c r="C18" s="80">
        <f>SUM(C15:C17)+1</f>
        <v>3706023.7775012404</v>
      </c>
      <c r="D18" s="156">
        <f>SUM(D15:D17)+1</f>
        <v>125554.82</v>
      </c>
      <c r="E18" s="156">
        <f>SUM(E15:E17)</f>
        <v>82029</v>
      </c>
      <c r="F18" s="156">
        <f>SUM(F15:F17)</f>
        <v>88697.85</v>
      </c>
      <c r="G18" s="71">
        <f>SUM(G15:G17)</f>
        <v>7038012.287501241</v>
      </c>
      <c r="H18" s="22">
        <f>+'[1](1)IBNR Cal-p13'!E40</f>
        <v>5697722.205</v>
      </c>
    </row>
    <row r="19" spans="1:7" s="22" customFormat="1" ht="14.25">
      <c r="A19" s="55"/>
      <c r="B19" s="69"/>
      <c r="C19" s="69"/>
      <c r="D19" s="155"/>
      <c r="E19" s="155"/>
      <c r="F19" s="155"/>
      <c r="G19" s="155"/>
    </row>
    <row r="20" spans="1:7" s="22" customFormat="1" ht="15">
      <c r="A20" s="54" t="s">
        <v>144</v>
      </c>
      <c r="B20" s="129" t="s">
        <v>165</v>
      </c>
      <c r="C20" s="129" t="s">
        <v>165</v>
      </c>
      <c r="D20" s="155"/>
      <c r="E20" s="155"/>
      <c r="F20" s="155"/>
      <c r="G20" s="155"/>
    </row>
    <row r="21" spans="1:7" s="22" customFormat="1" ht="14.25">
      <c r="A21" s="55" t="s">
        <v>2</v>
      </c>
      <c r="B21" s="69">
        <v>0</v>
      </c>
      <c r="C21" s="69">
        <v>3812745.98</v>
      </c>
      <c r="D21" s="155">
        <v>796383.95</v>
      </c>
      <c r="E21" s="155">
        <v>173012</v>
      </c>
      <c r="F21" s="155">
        <f>4+76330.03</f>
        <v>76334.03</v>
      </c>
      <c r="G21" s="155">
        <f>SUM(B21:F21)</f>
        <v>4858475.96</v>
      </c>
    </row>
    <row r="22" spans="1:7" s="22" customFormat="1" ht="14.25">
      <c r="A22" s="55" t="s">
        <v>3</v>
      </c>
      <c r="B22" s="69">
        <v>0</v>
      </c>
      <c r="C22" s="69">
        <v>582572.89</v>
      </c>
      <c r="D22" s="155">
        <v>136273.61</v>
      </c>
      <c r="E22" s="155">
        <v>-982</v>
      </c>
      <c r="F22" s="155">
        <f>365.82+1967</f>
        <v>2332.82</v>
      </c>
      <c r="G22" s="155">
        <f>SUM(B22:F22)</f>
        <v>720197.32</v>
      </c>
    </row>
    <row r="23" spans="1:7" s="22" customFormat="1" ht="14.25">
      <c r="A23" s="55" t="s">
        <v>4</v>
      </c>
      <c r="B23" s="69">
        <v>0</v>
      </c>
      <c r="C23" s="69">
        <v>8803.51</v>
      </c>
      <c r="D23" s="155">
        <v>0</v>
      </c>
      <c r="E23" s="155">
        <v>0</v>
      </c>
      <c r="F23" s="155">
        <v>0</v>
      </c>
      <c r="G23" s="155">
        <f>SUM(B23:F23)</f>
        <v>8803.51</v>
      </c>
    </row>
    <row r="24" spans="1:8" s="22" customFormat="1" ht="15.75" thickBot="1">
      <c r="A24" s="57" t="s">
        <v>277</v>
      </c>
      <c r="B24" s="80">
        <f>SUM(B21:B23)</f>
        <v>0</v>
      </c>
      <c r="C24" s="80">
        <f>SUM(C21:C23)</f>
        <v>4404122.38</v>
      </c>
      <c r="D24" s="156">
        <f>SUM(D21:D23)</f>
        <v>932657.5599999999</v>
      </c>
      <c r="E24" s="156">
        <f>SUM(E21:E23)</f>
        <v>172030</v>
      </c>
      <c r="F24" s="156">
        <f>SUM(F21:F23)</f>
        <v>78666.85</v>
      </c>
      <c r="G24" s="72">
        <f>SUM(B24:F24)</f>
        <v>5587476.789999999</v>
      </c>
      <c r="H24" s="22">
        <f>SUM(G21:G23)</f>
        <v>5587476.79</v>
      </c>
    </row>
    <row r="25" spans="1:7" s="121" customFormat="1" ht="15" thickTop="1">
      <c r="A25" s="120"/>
      <c r="B25" s="129"/>
      <c r="C25" s="129"/>
      <c r="D25" s="129"/>
      <c r="E25" s="129"/>
      <c r="F25" s="129"/>
      <c r="G25" s="129"/>
    </row>
    <row r="26" spans="1:7" s="22" customFormat="1" ht="15">
      <c r="A26" s="54" t="s">
        <v>5</v>
      </c>
      <c r="B26" s="69"/>
      <c r="C26" s="69"/>
      <c r="D26" s="155"/>
      <c r="E26" s="155"/>
      <c r="F26" s="155"/>
      <c r="G26" s="155"/>
    </row>
    <row r="27" spans="1:9" s="22" customFormat="1" ht="14.25">
      <c r="A27" s="55" t="s">
        <v>2</v>
      </c>
      <c r="B27" s="155">
        <f aca="true" t="shared" si="1" ref="B27:C29">B9+(B15-B21)</f>
        <v>3029567.2399999998</v>
      </c>
      <c r="C27" s="155">
        <f t="shared" si="1"/>
        <v>5144953.7716644</v>
      </c>
      <c r="D27" s="155">
        <f aca="true" t="shared" si="2" ref="D27:E29">D9+(D15-D21)</f>
        <v>-210247.74</v>
      </c>
      <c r="E27" s="155">
        <f t="shared" si="2"/>
        <v>-39965.85</v>
      </c>
      <c r="F27" s="155">
        <f>F9+(F15-F21)</f>
        <v>-16616.47</v>
      </c>
      <c r="G27" s="155">
        <f>SUM(B27:F27)</f>
        <v>7907690.9516644</v>
      </c>
      <c r="H27" s="24" t="s">
        <v>265</v>
      </c>
      <c r="I27" s="22" t="s">
        <v>268</v>
      </c>
    </row>
    <row r="28" spans="1:8" s="22" customFormat="1" ht="14.25">
      <c r="A28" s="55" t="s">
        <v>3</v>
      </c>
      <c r="B28" s="155">
        <f t="shared" si="1"/>
        <v>277239.74</v>
      </c>
      <c r="C28" s="155">
        <f t="shared" si="1"/>
        <v>37975.812242755084</v>
      </c>
      <c r="D28" s="155">
        <f t="shared" si="2"/>
        <v>-54852.16999999999</v>
      </c>
      <c r="E28" s="155">
        <f t="shared" si="2"/>
        <v>9298.83</v>
      </c>
      <c r="F28" s="155">
        <f>F10+(F16-F22)</f>
        <v>-123.54000000000019</v>
      </c>
      <c r="G28" s="155">
        <f>SUM(B28:F28)</f>
        <v>269538.6722427551</v>
      </c>
      <c r="H28" s="24" t="s">
        <v>266</v>
      </c>
    </row>
    <row r="29" spans="1:8" s="22" customFormat="1" ht="14.25">
      <c r="A29" s="55" t="s">
        <v>4</v>
      </c>
      <c r="B29" s="155">
        <f t="shared" si="1"/>
        <v>0</v>
      </c>
      <c r="C29" s="155">
        <f t="shared" si="1"/>
        <v>2669.613594085452</v>
      </c>
      <c r="D29" s="155">
        <f t="shared" si="2"/>
        <v>0</v>
      </c>
      <c r="E29" s="155">
        <f t="shared" si="2"/>
        <v>0</v>
      </c>
      <c r="F29" s="155">
        <f>F11+(F17-F23)</f>
        <v>0</v>
      </c>
      <c r="G29" s="155">
        <f>SUM(B29:F29)</f>
        <v>2669.613594085452</v>
      </c>
      <c r="H29" s="24" t="s">
        <v>267</v>
      </c>
    </row>
    <row r="30" spans="1:9" ht="15.75" thickBot="1">
      <c r="A30" s="57" t="s">
        <v>277</v>
      </c>
      <c r="B30" s="204">
        <f>SUM(B27:B29)-1</f>
        <v>3306805.9799999995</v>
      </c>
      <c r="C30" s="204">
        <f>SUM(C27:C29)-1</f>
        <v>5185598.19750124</v>
      </c>
      <c r="D30" s="204">
        <f>SUM(D27:D29)</f>
        <v>-265099.91</v>
      </c>
      <c r="E30" s="204">
        <f>SUM(E27:E29)</f>
        <v>-30667.019999999997</v>
      </c>
      <c r="F30" s="204">
        <f>SUM(F27:F29)</f>
        <v>-16740.010000000002</v>
      </c>
      <c r="G30" s="204">
        <f>SUM(G27:G29)</f>
        <v>8179899.237501241</v>
      </c>
      <c r="H30" s="70">
        <f>SUM(G27:G29)</f>
        <v>8179899.237501241</v>
      </c>
      <c r="I30" s="58"/>
    </row>
    <row r="31" spans="4:8" ht="16.5" thickTop="1">
      <c r="D31" s="157"/>
      <c r="E31" s="157"/>
      <c r="F31" s="158"/>
      <c r="G31" s="158"/>
      <c r="H31" s="59">
        <f>+'[1]TB06-30-03(Final)'!E431</f>
        <v>2160529.7000000007</v>
      </c>
    </row>
    <row r="32" spans="4:8" ht="15.75">
      <c r="D32" s="157"/>
      <c r="E32" s="157"/>
      <c r="F32" s="158"/>
      <c r="G32" s="158"/>
      <c r="H32" s="59"/>
    </row>
    <row r="33" spans="1:7" ht="18.75" customHeight="1">
      <c r="A33" s="54" t="s">
        <v>17</v>
      </c>
      <c r="D33" s="221"/>
      <c r="E33" s="221"/>
      <c r="F33" s="221"/>
      <c r="G33" s="222" t="s">
        <v>16</v>
      </c>
    </row>
    <row r="34" spans="1:7" ht="14.25">
      <c r="A34" s="55" t="s">
        <v>2</v>
      </c>
      <c r="B34" s="69">
        <f>468189.06-222137.25</f>
        <v>246051.81</v>
      </c>
      <c r="C34" s="69">
        <f>468189.06-222137.25</f>
        <v>246051.81</v>
      </c>
      <c r="D34" s="69">
        <f>448199.18-670918.35</f>
        <v>-222719.16999999998</v>
      </c>
      <c r="E34" s="223">
        <v>0</v>
      </c>
      <c r="F34" s="223">
        <v>0</v>
      </c>
      <c r="G34" s="68">
        <f>SUM(B34:F34)</f>
        <v>269384.45</v>
      </c>
    </row>
    <row r="35" spans="1:7" ht="14.25">
      <c r="A35" s="55" t="s">
        <v>3</v>
      </c>
      <c r="B35" s="69">
        <f>175542.97-81939.83</f>
        <v>93603.14</v>
      </c>
      <c r="C35" s="69">
        <f>175542.97-81939.83</f>
        <v>93603.14</v>
      </c>
      <c r="D35" s="69">
        <f>180110.78-278566.43</f>
        <v>-98455.65</v>
      </c>
      <c r="E35" s="223">
        <v>0</v>
      </c>
      <c r="F35" s="223">
        <v>0</v>
      </c>
      <c r="G35" s="68">
        <f>SUM(B35:F35)</f>
        <v>88750.63</v>
      </c>
    </row>
    <row r="36" spans="1:7" ht="14.25">
      <c r="A36" s="55" t="s">
        <v>4</v>
      </c>
      <c r="B36" s="69">
        <f>3215.61-1526.93</f>
        <v>1688.68</v>
      </c>
      <c r="C36" s="69">
        <f>3215.61-1526.93</f>
        <v>1688.68</v>
      </c>
      <c r="D36" s="69">
        <f>3443.46-5433.83</f>
        <v>-1990.37</v>
      </c>
      <c r="E36" s="223">
        <v>0</v>
      </c>
      <c r="F36" s="223">
        <v>0</v>
      </c>
      <c r="G36" s="68">
        <f>SUM(B36:F36)</f>
        <v>1386.9900000000002</v>
      </c>
    </row>
    <row r="37" spans="1:7" ht="15.75" thickBot="1">
      <c r="A37" s="57" t="s">
        <v>277</v>
      </c>
      <c r="B37" s="204">
        <f aca="true" t="shared" si="3" ref="B37:G37">SUM(B34:B36)</f>
        <v>341343.63</v>
      </c>
      <c r="C37" s="204">
        <f t="shared" si="3"/>
        <v>341343.63</v>
      </c>
      <c r="D37" s="204">
        <f t="shared" si="3"/>
        <v>-323165.18999999994</v>
      </c>
      <c r="E37" s="224">
        <f t="shared" si="3"/>
        <v>0</v>
      </c>
      <c r="F37" s="224">
        <f t="shared" si="3"/>
        <v>0</v>
      </c>
      <c r="G37" s="204">
        <f t="shared" si="3"/>
        <v>359522.07</v>
      </c>
    </row>
    <row r="38" spans="1:7" s="79" customFormat="1" ht="16.5" thickTop="1">
      <c r="A38" s="120"/>
      <c r="B38" s="206"/>
      <c r="C38" s="206"/>
      <c r="D38" s="206"/>
      <c r="E38" s="206"/>
      <c r="F38" s="93"/>
      <c r="G38" s="93"/>
    </row>
    <row r="39" spans="1:8" ht="31.5" customHeight="1">
      <c r="A39" s="54" t="s">
        <v>187</v>
      </c>
      <c r="B39" s="146" t="s">
        <v>33</v>
      </c>
      <c r="C39" s="146" t="s">
        <v>33</v>
      </c>
      <c r="D39" s="146" t="s">
        <v>139</v>
      </c>
      <c r="E39" s="146" t="s">
        <v>154</v>
      </c>
      <c r="F39" s="146" t="s">
        <v>202</v>
      </c>
      <c r="G39" s="147" t="s">
        <v>167</v>
      </c>
      <c r="H39" s="103"/>
    </row>
    <row r="40" spans="2:8" ht="15.75">
      <c r="B40" s="131"/>
      <c r="C40" s="131"/>
      <c r="D40" s="143"/>
      <c r="E40" s="143"/>
      <c r="F40" s="145"/>
      <c r="G40" s="134"/>
      <c r="H40" s="104">
        <f>+'[1]TB06-30-03(Final)'!G425</f>
        <v>0</v>
      </c>
    </row>
    <row r="41" spans="1:8" ht="12.75" customHeight="1">
      <c r="A41" s="55" t="s">
        <v>2</v>
      </c>
      <c r="B41" s="133">
        <f>+B27-B34</f>
        <v>2783515.4299999997</v>
      </c>
      <c r="C41" s="133">
        <f aca="true" t="shared" si="4" ref="C41:F42">+C27-C34</f>
        <v>4898901.9616644</v>
      </c>
      <c r="D41" s="133">
        <f t="shared" si="4"/>
        <v>12471.429999999993</v>
      </c>
      <c r="E41" s="133">
        <f t="shared" si="4"/>
        <v>-39965.85</v>
      </c>
      <c r="F41" s="133">
        <f t="shared" si="4"/>
        <v>-16616.47</v>
      </c>
      <c r="G41" s="134">
        <f>SUM(C41:F41)</f>
        <v>4854791.0716644</v>
      </c>
      <c r="H41" s="38"/>
    </row>
    <row r="42" spans="1:8" ht="12.75" customHeight="1">
      <c r="A42" s="55" t="s">
        <v>3</v>
      </c>
      <c r="B42" s="133">
        <f>+B28-B35</f>
        <v>183636.59999999998</v>
      </c>
      <c r="C42" s="133">
        <f t="shared" si="4"/>
        <v>-55627.327757244915</v>
      </c>
      <c r="D42" s="133">
        <f t="shared" si="4"/>
        <v>43603.48</v>
      </c>
      <c r="E42" s="133">
        <f t="shared" si="4"/>
        <v>9298.83</v>
      </c>
      <c r="F42" s="133">
        <f t="shared" si="4"/>
        <v>-123.54000000000019</v>
      </c>
      <c r="G42" s="134">
        <f>SUM(C42:F42)</f>
        <v>-2848.557757244912</v>
      </c>
      <c r="H42" s="38"/>
    </row>
    <row r="43" spans="1:8" ht="14.25">
      <c r="A43" s="55" t="s">
        <v>4</v>
      </c>
      <c r="B43" s="133">
        <f>+B29-B36</f>
        <v>-1688.68</v>
      </c>
      <c r="C43" s="133">
        <f>+C29-C36</f>
        <v>980.9335940854519</v>
      </c>
      <c r="D43" s="133">
        <f>+D29-D36</f>
        <v>1990.37</v>
      </c>
      <c r="E43" s="133">
        <f>+E29-E35</f>
        <v>0</v>
      </c>
      <c r="F43" s="133">
        <f>+F29-F35</f>
        <v>0</v>
      </c>
      <c r="G43" s="134">
        <f>SUM(C43:F43)</f>
        <v>2971.3035940854516</v>
      </c>
      <c r="H43" s="38"/>
    </row>
    <row r="44" spans="1:8" ht="15.75" thickBot="1">
      <c r="A44" s="57" t="s">
        <v>277</v>
      </c>
      <c r="B44" s="204">
        <f>SUM(B41:B43)-1</f>
        <v>2965462.3499999996</v>
      </c>
      <c r="C44" s="204">
        <f>SUM(C41:C43)-1</f>
        <v>4844254.56750124</v>
      </c>
      <c r="D44" s="72">
        <f>SUM(D41:D43)</f>
        <v>58065.28</v>
      </c>
      <c r="E44" s="72">
        <f>SUM(E41:E43)</f>
        <v>-30667.019999999997</v>
      </c>
      <c r="F44" s="72">
        <f>SUM(F41:F43)</f>
        <v>-16740.010000000002</v>
      </c>
      <c r="G44" s="204">
        <f>SUM(G41:G43)+1</f>
        <v>4854914.81750124</v>
      </c>
      <c r="H44" s="38"/>
    </row>
    <row r="45" spans="1:8" ht="16.5" thickTop="1">
      <c r="A45" s="57"/>
      <c r="D45" s="86"/>
      <c r="E45" s="86"/>
      <c r="F45" s="158"/>
      <c r="G45" s="39"/>
      <c r="H45" s="24"/>
    </row>
  </sheetData>
  <printOptions horizontalCentered="1"/>
  <pageMargins left="0.75" right="0.75" top="0.5" bottom="0" header="0.5" footer="0"/>
  <pageSetup horizontalDpi="300" verticalDpi="300" orientation="landscape" scale="75" r:id="rId1"/>
  <headerFooter alignWithMargins="0">
    <oddFooter>&amp;CPage 9
</oddFooter>
  </headerFooter>
</worksheet>
</file>

<file path=xl/worksheets/sheet11.xml><?xml version="1.0" encoding="utf-8"?>
<worksheet xmlns="http://schemas.openxmlformats.org/spreadsheetml/2006/main" xmlns:r="http://schemas.openxmlformats.org/officeDocument/2006/relationships">
  <dimension ref="A1:G32"/>
  <sheetViews>
    <sheetView workbookViewId="0" topLeftCell="A1">
      <selection activeCell="A1" sqref="A1:G1"/>
    </sheetView>
  </sheetViews>
  <sheetFormatPr defaultColWidth="9.140625" defaultRowHeight="12.75"/>
  <cols>
    <col min="1" max="1" width="41.421875" style="160" customWidth="1"/>
    <col min="2" max="3" width="17.7109375" style="86" customWidth="1"/>
    <col min="4" max="7" width="17.7109375" style="70" customWidth="1"/>
    <col min="8" max="16384" width="9.140625" style="160" customWidth="1"/>
  </cols>
  <sheetData>
    <row r="1" spans="1:7" s="360" customFormat="1" ht="25.5">
      <c r="A1" s="527" t="s">
        <v>166</v>
      </c>
      <c r="B1" s="527"/>
      <c r="C1" s="527"/>
      <c r="D1" s="527"/>
      <c r="E1" s="527"/>
      <c r="F1" s="527"/>
      <c r="G1" s="527"/>
    </row>
    <row r="2" spans="1:7" ht="19.5" customHeight="1">
      <c r="A2" s="529"/>
      <c r="B2" s="529"/>
      <c r="C2" s="529"/>
      <c r="D2" s="529"/>
      <c r="E2" s="529"/>
      <c r="F2" s="529"/>
      <c r="G2" s="529"/>
    </row>
    <row r="3" spans="1:7" s="333" customFormat="1" ht="15.75">
      <c r="A3" s="528" t="s">
        <v>284</v>
      </c>
      <c r="B3" s="528"/>
      <c r="C3" s="528"/>
      <c r="D3" s="528"/>
      <c r="E3" s="528"/>
      <c r="F3" s="528"/>
      <c r="G3" s="528"/>
    </row>
    <row r="4" spans="1:7" s="333" customFormat="1" ht="15.75">
      <c r="A4" s="528" t="s">
        <v>298</v>
      </c>
      <c r="B4" s="528"/>
      <c r="C4" s="528"/>
      <c r="D4" s="528"/>
      <c r="E4" s="528"/>
      <c r="F4" s="528"/>
      <c r="G4" s="528"/>
    </row>
    <row r="5" spans="1:7" ht="15" customHeight="1">
      <c r="A5" s="361"/>
      <c r="B5" s="126"/>
      <c r="C5" s="126"/>
      <c r="D5" s="125"/>
      <c r="E5" s="125"/>
      <c r="F5" s="362"/>
      <c r="G5" s="362"/>
    </row>
    <row r="6" spans="1:7" ht="30" customHeight="1">
      <c r="A6" s="312"/>
      <c r="B6" s="127" t="s">
        <v>32</v>
      </c>
      <c r="C6" s="127" t="s">
        <v>33</v>
      </c>
      <c r="D6" s="146" t="s">
        <v>139</v>
      </c>
      <c r="E6" s="146" t="s">
        <v>154</v>
      </c>
      <c r="F6" s="146" t="s">
        <v>131</v>
      </c>
      <c r="G6" s="147" t="s">
        <v>167</v>
      </c>
    </row>
    <row r="7" spans="1:7" ht="15.75" customHeight="1">
      <c r="A7" s="313" t="s">
        <v>285</v>
      </c>
      <c r="B7" s="109"/>
      <c r="C7" s="109"/>
      <c r="D7" s="109"/>
      <c r="E7" s="109"/>
      <c r="F7" s="109"/>
      <c r="G7" s="109"/>
    </row>
    <row r="8" spans="1:7" ht="15.75" customHeight="1">
      <c r="A8" s="313" t="s">
        <v>286</v>
      </c>
      <c r="B8" s="128"/>
      <c r="C8" s="128"/>
      <c r="D8" s="109"/>
      <c r="E8" s="109"/>
      <c r="F8" s="109"/>
      <c r="G8" s="109"/>
    </row>
    <row r="9" spans="1:7" ht="15.75" customHeight="1">
      <c r="A9" s="314" t="s">
        <v>287</v>
      </c>
      <c r="B9" s="225">
        <f>'[7]Loss Expenses Paid QTD-p16'!E34</f>
        <v>1057666.06</v>
      </c>
      <c r="C9" s="225">
        <f>'[7]Loss Expenses Paid QTD-p16'!E28</f>
        <v>1125655.76</v>
      </c>
      <c r="D9" s="225">
        <f>'[7]Loss Expenses Paid QTD-p16'!E22</f>
        <v>8219.27</v>
      </c>
      <c r="E9" s="225">
        <f>'[7]Loss Expenses Paid QTD-p16'!E16</f>
        <v>3500</v>
      </c>
      <c r="F9" s="400">
        <f>'[7]Loss Expenses Paid QTD-p16'!E10+'[7]Trial Balance'!C257</f>
        <v>-150</v>
      </c>
      <c r="G9" s="225">
        <f>SUM(B9:F9)</f>
        <v>2194891.0900000003</v>
      </c>
    </row>
    <row r="10" spans="1:7" ht="15.75" customHeight="1">
      <c r="A10" s="314" t="s">
        <v>288</v>
      </c>
      <c r="B10" s="134">
        <f>'[7]Loss Expenses Paid QTD-p16'!E35</f>
        <v>427178.95</v>
      </c>
      <c r="C10" s="134">
        <f>'[7]Loss Expenses Paid QTD-p16'!E29+'[7]Trial Balance'!C266</f>
        <v>196899.23</v>
      </c>
      <c r="D10" s="134">
        <f>'[7]Loss Expenses Paid QTD-p16'!E23</f>
        <v>12844.43</v>
      </c>
      <c r="E10" s="134">
        <f>'[7]Loss Expenses Paid QTD-p16'!E17</f>
        <v>0</v>
      </c>
      <c r="F10" s="134">
        <f>'[7]Loss Expenses Paid QTD-p16'!E11+'[7]Trial Balance'!C264</f>
        <v>-47.94</v>
      </c>
      <c r="G10" s="155">
        <f>SUM(B10:F10)</f>
        <v>636874.6700000002</v>
      </c>
    </row>
    <row r="11" spans="1:7" ht="15.75" customHeight="1">
      <c r="A11" s="314" t="s">
        <v>1</v>
      </c>
      <c r="B11" s="134">
        <f>'[7]Loss Expenses Paid QTD-p16'!E36</f>
        <v>2500</v>
      </c>
      <c r="C11" s="134">
        <f>'[7]Loss Expenses Paid QTD-p16'!E30</f>
        <v>0</v>
      </c>
      <c r="D11" s="134">
        <f>'[7]Loss Expenses Paid QTD-p16'!E24</f>
        <v>0</v>
      </c>
      <c r="E11" s="134">
        <f>'[7]Loss Expenses Paid QTD-p16'!E18</f>
        <v>0</v>
      </c>
      <c r="F11" s="134">
        <f>'[7]Loss Expenses Paid QTD-p16'!E12</f>
        <v>0</v>
      </c>
      <c r="G11" s="155">
        <f>SUM(B11:F11)</f>
        <v>2500</v>
      </c>
    </row>
    <row r="12" spans="1:7" ht="15.75" customHeight="1" thickBot="1">
      <c r="A12" s="315" t="s">
        <v>277</v>
      </c>
      <c r="B12" s="80">
        <f aca="true" t="shared" si="0" ref="B12:G12">SUM(B9:B11)</f>
        <v>1487345.01</v>
      </c>
      <c r="C12" s="80">
        <f t="shared" si="0"/>
        <v>1322554.99</v>
      </c>
      <c r="D12" s="156">
        <f>SUM(D9:D11)-1</f>
        <v>21062.7</v>
      </c>
      <c r="E12" s="156">
        <f t="shared" si="0"/>
        <v>3500</v>
      </c>
      <c r="F12" s="156">
        <f t="shared" si="0"/>
        <v>-197.94</v>
      </c>
      <c r="G12" s="72">
        <f t="shared" si="0"/>
        <v>2834265.7600000007</v>
      </c>
    </row>
    <row r="13" spans="1:7" ht="15.75" customHeight="1" thickTop="1">
      <c r="A13" s="314"/>
      <c r="B13" s="69"/>
      <c r="C13" s="69"/>
      <c r="D13" s="155"/>
      <c r="E13" s="155"/>
      <c r="F13" s="155"/>
      <c r="G13" s="155"/>
    </row>
    <row r="14" spans="1:7" ht="15.75" customHeight="1">
      <c r="A14" s="313" t="s">
        <v>300</v>
      </c>
      <c r="B14" s="69"/>
      <c r="C14" s="69"/>
      <c r="D14" s="155"/>
      <c r="E14" s="155"/>
      <c r="F14" s="155"/>
      <c r="G14" s="155"/>
    </row>
    <row r="15" spans="1:7" ht="15.75" customHeight="1">
      <c r="A15" s="314" t="s">
        <v>2</v>
      </c>
      <c r="B15" s="155">
        <f>'Losses Incurred YTD-p10'!B15</f>
        <v>3855158.91</v>
      </c>
      <c r="C15" s="155">
        <f>'Losses Incurred YTD-p10'!C15</f>
        <v>1825586.84</v>
      </c>
      <c r="D15" s="155">
        <f>'Losses Incurred YTD-p10'!D15</f>
        <v>86017</v>
      </c>
      <c r="E15" s="155">
        <f>'Losses Incurred YTD-p10'!E15</f>
        <v>133700</v>
      </c>
      <c r="F15" s="155">
        <f>'Losses Incurred YTD-p10'!F15</f>
        <v>25029</v>
      </c>
      <c r="G15" s="155">
        <f>SUM(B15:F15)</f>
        <v>5925491.75</v>
      </c>
    </row>
    <row r="16" spans="1:7" ht="15.75" customHeight="1">
      <c r="A16" s="314" t="s">
        <v>3</v>
      </c>
      <c r="B16" s="155">
        <f>'Losses Incurred YTD-p10'!B16</f>
        <v>1125651.02</v>
      </c>
      <c r="C16" s="155">
        <f>'Losses Incurred YTD-p10'!C16</f>
        <v>152921.92</v>
      </c>
      <c r="D16" s="155">
        <f>'Losses Incurred YTD-p10'!D16</f>
        <v>8514</v>
      </c>
      <c r="E16" s="155">
        <f>'Losses Incurred YTD-p10'!E16</f>
        <v>0</v>
      </c>
      <c r="F16" s="155">
        <f>'Losses Incurred YTD-p10'!F16</f>
        <v>0</v>
      </c>
      <c r="G16" s="155">
        <f>SUM(B16:F16)</f>
        <v>1287086.94</v>
      </c>
    </row>
    <row r="17" spans="1:7" ht="15.75" customHeight="1">
      <c r="A17" s="314" t="s">
        <v>4</v>
      </c>
      <c r="B17" s="155">
        <f>'Losses Incurred YTD-p10'!B17</f>
        <v>27967.07</v>
      </c>
      <c r="C17" s="155">
        <f>'Losses Incurred YTD-p10'!C17</f>
        <v>0</v>
      </c>
      <c r="D17" s="155">
        <f>'Losses Incurred YTD-p10'!D17</f>
        <v>0</v>
      </c>
      <c r="E17" s="155">
        <f>'Losses Incurred YTD-p10'!E17</f>
        <v>0</v>
      </c>
      <c r="F17" s="155">
        <f>'Losses Incurred YTD-p10'!F17</f>
        <v>0</v>
      </c>
      <c r="G17" s="155">
        <f>SUM(B17:F17)</f>
        <v>27967.07</v>
      </c>
    </row>
    <row r="18" spans="1:7" ht="15.75" customHeight="1" thickBot="1">
      <c r="A18" s="315" t="s">
        <v>277</v>
      </c>
      <c r="B18" s="80">
        <f aca="true" t="shared" si="1" ref="B18:G18">SUM(B15:B17)</f>
        <v>5008777</v>
      </c>
      <c r="C18" s="80">
        <f t="shared" si="1"/>
        <v>1978508.76</v>
      </c>
      <c r="D18" s="156">
        <f t="shared" si="1"/>
        <v>94531</v>
      </c>
      <c r="E18" s="156">
        <f t="shared" si="1"/>
        <v>133700</v>
      </c>
      <c r="F18" s="156">
        <f t="shared" si="1"/>
        <v>25029</v>
      </c>
      <c r="G18" s="72">
        <f t="shared" si="1"/>
        <v>7240545.76</v>
      </c>
    </row>
    <row r="19" spans="1:7" ht="15.75" customHeight="1" thickTop="1">
      <c r="A19" s="314"/>
      <c r="B19" s="69"/>
      <c r="C19" s="69"/>
      <c r="D19" s="155"/>
      <c r="E19" s="155"/>
      <c r="F19" s="155"/>
      <c r="G19" s="155"/>
    </row>
    <row r="20" spans="1:7" ht="15.75" customHeight="1">
      <c r="A20" s="313" t="s">
        <v>301</v>
      </c>
      <c r="B20" s="129"/>
      <c r="C20" s="129"/>
      <c r="D20" s="155"/>
      <c r="E20" s="155"/>
      <c r="F20" s="155"/>
      <c r="G20" s="155"/>
    </row>
    <row r="21" spans="1:7" ht="15.75" customHeight="1">
      <c r="A21" s="314" t="s">
        <v>2</v>
      </c>
      <c r="B21" s="155">
        <f>'[8]Losses Incurred YTD-p10'!B15</f>
        <v>2512534.17</v>
      </c>
      <c r="C21" s="155">
        <f>'[8]Losses Incurred YTD-p10'!C15</f>
        <v>2672513.43</v>
      </c>
      <c r="D21" s="155">
        <f>'[8]Losses Incurred YTD-p10'!D15</f>
        <v>101025</v>
      </c>
      <c r="E21" s="155">
        <f>'[8]Losses Incurred YTD-p10'!E15</f>
        <v>90525</v>
      </c>
      <c r="F21" s="155">
        <f>'[8]Losses Incurred YTD-p10'!F15</f>
        <v>27649</v>
      </c>
      <c r="G21" s="155">
        <f>SUM(B21:F21)</f>
        <v>5404246.6</v>
      </c>
    </row>
    <row r="22" spans="1:7" ht="15.75" customHeight="1">
      <c r="A22" s="314" t="s">
        <v>3</v>
      </c>
      <c r="B22" s="155">
        <f>'[8]Losses Incurred YTD-p10'!B16</f>
        <v>505970.45</v>
      </c>
      <c r="C22" s="155">
        <f>'[8]Losses Incurred YTD-p10'!C16</f>
        <v>281230.53</v>
      </c>
      <c r="D22" s="155">
        <v>37021</v>
      </c>
      <c r="E22" s="155">
        <v>2</v>
      </c>
      <c r="F22" s="155">
        <v>6</v>
      </c>
      <c r="G22" s="155">
        <f>SUM(B22:F22)</f>
        <v>824229.98</v>
      </c>
    </row>
    <row r="23" spans="1:7" ht="15.75" customHeight="1">
      <c r="A23" s="314" t="s">
        <v>4</v>
      </c>
      <c r="B23" s="155">
        <f>'[8]Losses Incurred YTD-p10'!B17-1</f>
        <v>4297.33</v>
      </c>
      <c r="C23" s="155">
        <f>'[8]Losses Incurred YTD-p10'!C17</f>
        <v>1240.37</v>
      </c>
      <c r="D23" s="155">
        <f>'[8]Losses Incurred YTD-p10'!D17</f>
        <v>0</v>
      </c>
      <c r="E23" s="155">
        <f>'[8]Losses Incurred YTD-p10'!E17</f>
        <v>0</v>
      </c>
      <c r="F23" s="155">
        <f>'[8]Losses Incurred YTD-p10'!F17</f>
        <v>0</v>
      </c>
      <c r="G23" s="155">
        <f>SUM(B23:F23)-1</f>
        <v>5536.7</v>
      </c>
    </row>
    <row r="24" spans="1:7" ht="15.75" customHeight="1" thickBot="1">
      <c r="A24" s="315" t="s">
        <v>277</v>
      </c>
      <c r="B24" s="80">
        <f>SUM(B21:B23)-1</f>
        <v>3022800.95</v>
      </c>
      <c r="C24" s="80">
        <f>SUM(C21:C23)</f>
        <v>2954984.33</v>
      </c>
      <c r="D24" s="156">
        <f>SUM(D21:D23)</f>
        <v>138046</v>
      </c>
      <c r="E24" s="156">
        <f>SUM(E21:E23)</f>
        <v>90527</v>
      </c>
      <c r="F24" s="156">
        <f>SUM(F21:F23)</f>
        <v>27655</v>
      </c>
      <c r="G24" s="72">
        <f>SUM(B24:F24)+1</f>
        <v>6234014.28</v>
      </c>
    </row>
    <row r="25" spans="1:7" s="317" customFormat="1" ht="15.75" customHeight="1" thickTop="1">
      <c r="A25" s="316"/>
      <c r="B25" s="129"/>
      <c r="C25" s="129"/>
      <c r="D25" s="129"/>
      <c r="E25" s="129"/>
      <c r="F25" s="129"/>
      <c r="G25" s="129"/>
    </row>
    <row r="26" spans="1:7" ht="15.75" customHeight="1">
      <c r="A26" s="313" t="s">
        <v>5</v>
      </c>
      <c r="B26" s="69"/>
      <c r="C26" s="69"/>
      <c r="D26" s="155"/>
      <c r="E26" s="155"/>
      <c r="F26" s="155"/>
      <c r="G26" s="155"/>
    </row>
    <row r="27" spans="1:7" ht="15.75" customHeight="1">
      <c r="A27" s="314" t="s">
        <v>2</v>
      </c>
      <c r="B27" s="155">
        <f>B9+(B15-B21)</f>
        <v>2400290.8000000003</v>
      </c>
      <c r="C27" s="155">
        <f aca="true" t="shared" si="2" ref="C27:F29">C9+(C15-C21)</f>
        <v>278729.1699999999</v>
      </c>
      <c r="D27" s="155">
        <f t="shared" si="2"/>
        <v>-6788.73</v>
      </c>
      <c r="E27" s="155">
        <f t="shared" si="2"/>
        <v>46675</v>
      </c>
      <c r="F27" s="155">
        <f t="shared" si="2"/>
        <v>-2770</v>
      </c>
      <c r="G27" s="155">
        <f>SUM(B27:F27)</f>
        <v>2716136.24</v>
      </c>
    </row>
    <row r="28" spans="1:7" ht="15.75" customHeight="1">
      <c r="A28" s="314" t="s">
        <v>3</v>
      </c>
      <c r="B28" s="155">
        <f>B10+(B16-B22)</f>
        <v>1046859.52</v>
      </c>
      <c r="C28" s="155">
        <f t="shared" si="2"/>
        <v>68590.62</v>
      </c>
      <c r="D28" s="155">
        <f t="shared" si="2"/>
        <v>-15662.57</v>
      </c>
      <c r="E28" s="155">
        <f t="shared" si="2"/>
        <v>-2</v>
      </c>
      <c r="F28" s="155">
        <f t="shared" si="2"/>
        <v>-53.94</v>
      </c>
      <c r="G28" s="155">
        <f>SUM(B28:F28)</f>
        <v>1099731.6300000001</v>
      </c>
    </row>
    <row r="29" spans="1:7" ht="15.75" customHeight="1">
      <c r="A29" s="314" t="s">
        <v>4</v>
      </c>
      <c r="B29" s="155">
        <f>B11+(B17-B23)</f>
        <v>26169.739999999998</v>
      </c>
      <c r="C29" s="155">
        <f t="shared" si="2"/>
        <v>-1240.37</v>
      </c>
      <c r="D29" s="155">
        <f t="shared" si="2"/>
        <v>0</v>
      </c>
      <c r="E29" s="155">
        <f t="shared" si="2"/>
        <v>0</v>
      </c>
      <c r="F29" s="155">
        <f t="shared" si="2"/>
        <v>0</v>
      </c>
      <c r="G29" s="155">
        <f>SUM(B29:F29)+1</f>
        <v>24930.37</v>
      </c>
    </row>
    <row r="30" spans="1:7" ht="15.75" customHeight="1" thickBot="1">
      <c r="A30" s="315" t="s">
        <v>277</v>
      </c>
      <c r="B30" s="403">
        <f>SUM(B27:B29)+1</f>
        <v>3473321.0600000005</v>
      </c>
      <c r="C30" s="403">
        <f>SUM(C27:C29)+1</f>
        <v>346080.4199999999</v>
      </c>
      <c r="D30" s="403">
        <f>SUM(D27:D29)-1</f>
        <v>-22452.3</v>
      </c>
      <c r="E30" s="403">
        <f>SUM(E27:E29)</f>
        <v>46673</v>
      </c>
      <c r="F30" s="403">
        <f>SUM(F27:F29)</f>
        <v>-2823.94</v>
      </c>
      <c r="G30" s="403">
        <f>SUM(B30:F30)</f>
        <v>3840798.2400000007</v>
      </c>
    </row>
    <row r="31" spans="2:3" ht="15.75" customHeight="1" thickTop="1">
      <c r="B31" s="109"/>
      <c r="C31" s="109"/>
    </row>
    <row r="32" spans="2:3" ht="15.75" customHeight="1">
      <c r="B32" s="109"/>
      <c r="C32" s="109"/>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sheetData>
  <mergeCells count="4">
    <mergeCell ref="A1:G1"/>
    <mergeCell ref="A3:G3"/>
    <mergeCell ref="A4:G4"/>
    <mergeCell ref="A2:G2"/>
  </mergeCells>
  <printOptions horizontalCentered="1"/>
  <pageMargins left="0.5" right="0.5" top="0.5" bottom="0.5" header="0.5" footer="0"/>
  <pageSetup horizontalDpi="300" verticalDpi="300" orientation="landscape" scale="80" r:id="rId1"/>
  <headerFooter alignWithMargins="0">
    <oddFooter>&amp;CPage 9
</oddFooter>
  </headerFooter>
</worksheet>
</file>

<file path=xl/worksheets/sheet12.xml><?xml version="1.0" encoding="utf-8"?>
<worksheet xmlns="http://schemas.openxmlformats.org/spreadsheetml/2006/main" xmlns:r="http://schemas.openxmlformats.org/officeDocument/2006/relationships">
  <dimension ref="A1:I45"/>
  <sheetViews>
    <sheetView workbookViewId="0" topLeftCell="A1">
      <selection activeCell="A1" sqref="A1:G1"/>
    </sheetView>
  </sheetViews>
  <sheetFormatPr defaultColWidth="9.140625" defaultRowHeight="12.75"/>
  <cols>
    <col min="1" max="1" width="41.421875" style="15" customWidth="1"/>
    <col min="2" max="3" width="17.7109375" style="131" customWidth="1"/>
    <col min="4" max="6" width="17.7109375" style="145" customWidth="1"/>
    <col min="7" max="7" width="19.57421875" style="145" bestFit="1" customWidth="1"/>
    <col min="8" max="8" width="17.140625" style="15" bestFit="1" customWidth="1"/>
    <col min="9" max="9" width="13.8515625" style="15" bestFit="1" customWidth="1"/>
    <col min="10" max="10" width="11.7109375" style="15" bestFit="1" customWidth="1"/>
    <col min="11" max="16384" width="9.140625" style="15" customWidth="1"/>
  </cols>
  <sheetData>
    <row r="1" spans="1:7" s="115" customFormat="1" ht="27">
      <c r="A1" s="530" t="s">
        <v>166</v>
      </c>
      <c r="B1" s="530"/>
      <c r="C1" s="530"/>
      <c r="D1" s="530"/>
      <c r="E1" s="530"/>
      <c r="F1" s="530"/>
      <c r="G1" s="530"/>
    </row>
    <row r="2" spans="2:7" ht="19.5" customHeight="1">
      <c r="B2" s="15"/>
      <c r="C2" s="15"/>
      <c r="D2" s="15"/>
      <c r="E2" s="15"/>
      <c r="F2" s="15"/>
      <c r="G2" s="15"/>
    </row>
    <row r="3" spans="1:7" s="30" customFormat="1" ht="15.75">
      <c r="A3" s="531" t="s">
        <v>284</v>
      </c>
      <c r="B3" s="531"/>
      <c r="C3" s="531"/>
      <c r="D3" s="531"/>
      <c r="E3" s="531"/>
      <c r="F3" s="531"/>
      <c r="G3" s="531"/>
    </row>
    <row r="4" spans="1:7" s="30" customFormat="1" ht="15.75">
      <c r="A4" s="531" t="s">
        <v>295</v>
      </c>
      <c r="B4" s="531"/>
      <c r="C4" s="531"/>
      <c r="D4" s="531"/>
      <c r="E4" s="531"/>
      <c r="F4" s="531"/>
      <c r="G4" s="531"/>
    </row>
    <row r="5" spans="1:9" ht="15">
      <c r="A5" s="82"/>
      <c r="B5" s="130"/>
      <c r="C5" s="130"/>
      <c r="D5" s="359"/>
      <c r="E5" s="359"/>
      <c r="F5" s="359"/>
      <c r="G5" s="359"/>
      <c r="I5" s="15" t="s">
        <v>176</v>
      </c>
    </row>
    <row r="6" spans="1:7" ht="30" customHeight="1">
      <c r="A6" s="53"/>
      <c r="B6" s="146" t="s">
        <v>32</v>
      </c>
      <c r="C6" s="146" t="s">
        <v>33</v>
      </c>
      <c r="D6" s="146" t="s">
        <v>139</v>
      </c>
      <c r="E6" s="146" t="s">
        <v>154</v>
      </c>
      <c r="F6" s="146" t="s">
        <v>131</v>
      </c>
      <c r="G6" s="147" t="s">
        <v>167</v>
      </c>
    </row>
    <row r="7" spans="1:7" s="70" customFormat="1" ht="15.75" customHeight="1">
      <c r="A7" s="87" t="s">
        <v>285</v>
      </c>
      <c r="B7" s="134"/>
      <c r="C7" s="134"/>
      <c r="D7" s="132"/>
      <c r="E7" s="132"/>
      <c r="F7" s="132"/>
      <c r="G7" s="132"/>
    </row>
    <row r="8" spans="1:7" s="70" customFormat="1" ht="15.75" customHeight="1">
      <c r="A8" s="87" t="s">
        <v>286</v>
      </c>
      <c r="B8" s="133"/>
      <c r="C8" s="133"/>
      <c r="D8" s="132"/>
      <c r="E8" s="132"/>
      <c r="F8" s="132"/>
      <c r="G8" s="132"/>
    </row>
    <row r="9" spans="1:8" ht="15.75" customHeight="1">
      <c r="A9" s="55" t="s">
        <v>287</v>
      </c>
      <c r="B9" s="399">
        <f>'[7]Loss Expenses Paid YTD-p17'!E34</f>
        <v>1680160.99</v>
      </c>
      <c r="C9" s="399">
        <f>'[7]Loss Expenses Paid YTD-p17'!E28+'[7]Trial Balance'!E262</f>
        <v>8645366.95</v>
      </c>
      <c r="D9" s="399">
        <f>'[7]Loss Expenses Paid YTD-p17'!E22+'[7]Trial Balance'!E261</f>
        <v>484020.97000000003</v>
      </c>
      <c r="E9" s="399">
        <f>'[7]Loss Expenses Paid YTD-p17'!E16</f>
        <v>55524.15</v>
      </c>
      <c r="F9" s="400">
        <f>'[7]Loss Expenses Paid YTD-p17'!E10+'[7]Trial Balance'!E256+'[7]Trial Balance'!E257+'[7]Trial Balance'!E258+'[7]Trial Balance'!E259+'[7]Trial Balance'!E260</f>
        <v>-98111.47</v>
      </c>
      <c r="G9" s="400">
        <f>SUM(B9:F9)</f>
        <v>10766961.59</v>
      </c>
      <c r="H9" s="24"/>
    </row>
    <row r="10" spans="1:7" s="22" customFormat="1" ht="15.75" customHeight="1">
      <c r="A10" s="56" t="s">
        <v>288</v>
      </c>
      <c r="B10" s="134">
        <f>'[7]Loss Expenses Paid YTD-p17'!E35</f>
        <v>606102.33</v>
      </c>
      <c r="C10" s="134">
        <f>'[7]Loss Expenses Paid YTD-p17'!E29+'[7]Trial Balance'!E266</f>
        <v>805872.76</v>
      </c>
      <c r="D10" s="134">
        <f>'[7]Loss Expenses Paid YTD-p17'!E23+'[7]Trial Balance'!E265</f>
        <v>78139.51000000001</v>
      </c>
      <c r="E10" s="134">
        <f>'[7]Loss Expenses Paid YTD-p17'!E17</f>
        <v>8309.83</v>
      </c>
      <c r="F10" s="134">
        <f>'[7]Loss Expenses Paid YTD-p17'!E11+'[7]Trial Balance'!E263+'[7]Trial Balance'!E264</f>
        <v>-5495.19</v>
      </c>
      <c r="G10" s="134">
        <f>SUM(B10:F10)</f>
        <v>1492929.24</v>
      </c>
    </row>
    <row r="11" spans="1:7" s="22" customFormat="1" ht="15.75" customHeight="1">
      <c r="A11" s="56" t="s">
        <v>1</v>
      </c>
      <c r="B11" s="134">
        <f>'[7]Loss Expenses Paid YTD-p17'!E36</f>
        <v>2500</v>
      </c>
      <c r="C11" s="134">
        <f>'[7]Loss Expenses Paid YTD-p17'!E30</f>
        <v>8390.38</v>
      </c>
      <c r="D11" s="134">
        <f>'[7]Loss Expenses Paid YTD-p17'!E24</f>
        <v>0</v>
      </c>
      <c r="E11" s="134">
        <f>'[7]Loss Expenses Paid YTD-p17'!E18</f>
        <v>0</v>
      </c>
      <c r="F11" s="134">
        <f>'[7]Loss Expenses Paid YTD-p17'!E12</f>
        <v>0</v>
      </c>
      <c r="G11" s="135">
        <f>SUM(B11:F11)</f>
        <v>10890.38</v>
      </c>
    </row>
    <row r="12" spans="1:9" s="22" customFormat="1" ht="15.75" customHeight="1" thickBot="1">
      <c r="A12" s="57" t="s">
        <v>277</v>
      </c>
      <c r="B12" s="136">
        <f>SUM(B9:B11)</f>
        <v>2288763.32</v>
      </c>
      <c r="C12" s="136">
        <f>SUM(C9:C11)</f>
        <v>9459630.09</v>
      </c>
      <c r="D12" s="136">
        <f>SUM(D9:D11)+1</f>
        <v>562161.48</v>
      </c>
      <c r="E12" s="136">
        <f>SUM(E9:E11)</f>
        <v>63833.98</v>
      </c>
      <c r="F12" s="136">
        <f>SUM(F9:F11)+1</f>
        <v>-103605.66</v>
      </c>
      <c r="G12" s="440">
        <f>SUM(B12:F12)-2</f>
        <v>12270781.21</v>
      </c>
      <c r="I12" s="225"/>
    </row>
    <row r="13" spans="1:7" s="22" customFormat="1" ht="15.75" customHeight="1" thickTop="1">
      <c r="A13" s="55"/>
      <c r="B13" s="133"/>
      <c r="C13" s="133"/>
      <c r="D13" s="134"/>
      <c r="E13" s="134"/>
      <c r="F13" s="134"/>
      <c r="G13" s="134"/>
    </row>
    <row r="14" spans="1:8" s="22" customFormat="1" ht="15.75" customHeight="1">
      <c r="A14" s="54" t="s">
        <v>300</v>
      </c>
      <c r="B14" s="133"/>
      <c r="C14" s="133"/>
      <c r="D14" s="137"/>
      <c r="E14" s="137"/>
      <c r="F14" s="137"/>
      <c r="G14" s="134"/>
      <c r="H14" s="117"/>
    </row>
    <row r="15" spans="1:7" s="22" customFormat="1" ht="15.75" customHeight="1">
      <c r="A15" s="55" t="s">
        <v>2</v>
      </c>
      <c r="B15" s="134">
        <f>'[7]IBNR Calculation-p13'!E36</f>
        <v>3855158.91</v>
      </c>
      <c r="C15" s="134">
        <f>'[7]IBNR Calculation-p13'!E30</f>
        <v>1825586.84</v>
      </c>
      <c r="D15" s="134">
        <f>'[7]IBNR Calculation-p13'!E23</f>
        <v>86017</v>
      </c>
      <c r="E15" s="134">
        <f>'[7]IBNR Calculation-p13'!E16</f>
        <v>133700</v>
      </c>
      <c r="F15" s="134">
        <f>'[7]IBNR Calculation-p13'!E9</f>
        <v>25029</v>
      </c>
      <c r="G15" s="134">
        <f>SUM(B15:F15)</f>
        <v>5925491.75</v>
      </c>
    </row>
    <row r="16" spans="1:7" s="22" customFormat="1" ht="15.75" customHeight="1">
      <c r="A16" s="55" t="s">
        <v>3</v>
      </c>
      <c r="B16" s="134">
        <f>'[7]IBNR Calculation-p13'!E37</f>
        <v>1125651.02</v>
      </c>
      <c r="C16" s="134">
        <f>'[7]IBNR Calculation-p13'!E31</f>
        <v>152921.92</v>
      </c>
      <c r="D16" s="134">
        <f>'[7]IBNR Calculation-p13'!E24+8</f>
        <v>8514</v>
      </c>
      <c r="E16" s="134">
        <f>'[7]IBNR Calculation-p13'!E17-2</f>
        <v>0</v>
      </c>
      <c r="F16" s="134">
        <f>'[7]IBNR Calculation-p13'!E10-6</f>
        <v>0</v>
      </c>
      <c r="G16" s="134">
        <f>SUM(B16:F16)</f>
        <v>1287086.94</v>
      </c>
    </row>
    <row r="17" spans="1:7" s="22" customFormat="1" ht="15.75" customHeight="1">
      <c r="A17" s="55" t="s">
        <v>4</v>
      </c>
      <c r="B17" s="134">
        <f>'[7]IBNR Calculation-p13'!E38</f>
        <v>27967.07</v>
      </c>
      <c r="C17" s="134">
        <f>'[7]IBNR Calculation-p13'!E32</f>
        <v>0</v>
      </c>
      <c r="D17" s="134">
        <f>'[7]IBNR Calculation-p13'!E25</f>
        <v>0</v>
      </c>
      <c r="E17" s="134">
        <f>'[7]IBNR Calculation-p13'!E18</f>
        <v>0</v>
      </c>
      <c r="F17" s="134">
        <f>'[7]IBNR Calculation-p13'!E11</f>
        <v>0</v>
      </c>
      <c r="G17" s="134">
        <f>SUM(B17:F17)</f>
        <v>27967.07</v>
      </c>
    </row>
    <row r="18" spans="1:7" s="22" customFormat="1" ht="15.75" customHeight="1" thickBot="1">
      <c r="A18" s="57" t="s">
        <v>277</v>
      </c>
      <c r="B18" s="136">
        <f>SUM(B15:B17)</f>
        <v>5008777</v>
      </c>
      <c r="C18" s="136">
        <f>SUM(C15:C17)</f>
        <v>1978508.76</v>
      </c>
      <c r="D18" s="136">
        <f>SUM(D15:D17)</f>
        <v>94531</v>
      </c>
      <c r="E18" s="136">
        <f>SUM(E15:E17)</f>
        <v>133700</v>
      </c>
      <c r="F18" s="136">
        <f>SUM(F15:F17)</f>
        <v>25029</v>
      </c>
      <c r="G18" s="440">
        <f>SUM(B18:F18)</f>
        <v>7240545.76</v>
      </c>
    </row>
    <row r="19" spans="1:7" s="22" customFormat="1" ht="15.75" customHeight="1" thickTop="1">
      <c r="A19" s="55"/>
      <c r="B19" s="133"/>
      <c r="C19" s="133"/>
      <c r="D19" s="134"/>
      <c r="E19" s="134"/>
      <c r="F19" s="134"/>
      <c r="G19" s="134"/>
    </row>
    <row r="20" spans="1:7" s="22" customFormat="1" ht="15.75" customHeight="1">
      <c r="A20" s="54" t="s">
        <v>144</v>
      </c>
      <c r="B20" s="138"/>
      <c r="C20" s="138"/>
      <c r="D20" s="134"/>
      <c r="E20" s="134"/>
      <c r="F20" s="134"/>
      <c r="G20" s="134"/>
    </row>
    <row r="21" spans="1:7" s="22" customFormat="1" ht="15.75" customHeight="1">
      <c r="A21" s="55" t="s">
        <v>2</v>
      </c>
      <c r="B21" s="133">
        <f>'[8]Losses Incurred YTD-p10'!B21</f>
        <v>0</v>
      </c>
      <c r="C21" s="133">
        <f>'[8]Losses Incurred YTD-p10'!C21</f>
        <v>3812745.98</v>
      </c>
      <c r="D21" s="134">
        <f>'[8]Losses Incurred YTD-p10'!D21</f>
        <v>796383.85</v>
      </c>
      <c r="E21" s="134">
        <f>'[8]Losses Incurred YTD-p10'!E21</f>
        <v>173012</v>
      </c>
      <c r="F21" s="134">
        <f>'[8]Losses Incurred YTD-p10'!F21</f>
        <v>76334.03</v>
      </c>
      <c r="G21" s="134">
        <f>SUM(B21:F21)</f>
        <v>4858475.86</v>
      </c>
    </row>
    <row r="22" spans="1:7" s="22" customFormat="1" ht="15.75" customHeight="1">
      <c r="A22" s="55" t="s">
        <v>3</v>
      </c>
      <c r="B22" s="133">
        <f>'[8]Losses Incurred YTD-p10'!B22</f>
        <v>0</v>
      </c>
      <c r="C22" s="133">
        <f>'[8]Losses Incurred YTD-p10'!C22</f>
        <v>582572.89</v>
      </c>
      <c r="D22" s="134">
        <f>'[8]Losses Incurred YTD-p10'!D22</f>
        <v>136273.61</v>
      </c>
      <c r="E22" s="134">
        <f>'[8]Losses Incurred YTD-p10'!E22</f>
        <v>-982</v>
      </c>
      <c r="F22" s="134">
        <f>'[8]Losses Incurred YTD-p10'!F22</f>
        <v>2332.82</v>
      </c>
      <c r="G22" s="134">
        <f>SUM(B22:F22)</f>
        <v>720197.32</v>
      </c>
    </row>
    <row r="23" spans="1:7" s="22" customFormat="1" ht="15.75" customHeight="1">
      <c r="A23" s="55" t="s">
        <v>4</v>
      </c>
      <c r="B23" s="133">
        <f>'[8]Losses Incurred YTD-p10'!B23</f>
        <v>0</v>
      </c>
      <c r="C23" s="133">
        <f>'[8]Losses Incurred YTD-p10'!C23</f>
        <v>8803.51</v>
      </c>
      <c r="D23" s="134">
        <f>'[8]Losses Incurred YTD-p10'!D23</f>
        <v>0</v>
      </c>
      <c r="E23" s="134">
        <f>'[8]Losses Incurred YTD-p10'!E23</f>
        <v>0</v>
      </c>
      <c r="F23" s="134">
        <f>'[8]Losses Incurred YTD-p10'!F23</f>
        <v>0</v>
      </c>
      <c r="G23" s="134">
        <f>SUM(B23:F23)</f>
        <v>8803.51</v>
      </c>
    </row>
    <row r="24" spans="1:7" s="22" customFormat="1" ht="15.75" customHeight="1" thickBot="1">
      <c r="A24" s="57" t="s">
        <v>277</v>
      </c>
      <c r="B24" s="139">
        <f>SUM(B21:B23)</f>
        <v>0</v>
      </c>
      <c r="C24" s="139">
        <f>SUM(C21:C23)+1</f>
        <v>4404123.38</v>
      </c>
      <c r="D24" s="136">
        <f>SUM(D21:D23)+1</f>
        <v>932658.46</v>
      </c>
      <c r="E24" s="136">
        <f>SUM(E21:E23)</f>
        <v>172030</v>
      </c>
      <c r="F24" s="136">
        <f>SUM(F21:F23)</f>
        <v>78666.85</v>
      </c>
      <c r="G24" s="440">
        <f>SUM(B24:F24)-2</f>
        <v>5587476.6899999995</v>
      </c>
    </row>
    <row r="25" spans="1:7" s="22" customFormat="1" ht="15.75" customHeight="1" thickTop="1">
      <c r="A25" s="55"/>
      <c r="B25" s="133"/>
      <c r="C25" s="133"/>
      <c r="D25" s="134"/>
      <c r="E25" s="134"/>
      <c r="F25" s="134"/>
      <c r="G25" s="134"/>
    </row>
    <row r="26" spans="1:7" s="22" customFormat="1" ht="15.75" customHeight="1">
      <c r="A26" s="54" t="s">
        <v>123</v>
      </c>
      <c r="B26" s="133"/>
      <c r="C26" s="133"/>
      <c r="D26" s="134"/>
      <c r="E26" s="134"/>
      <c r="F26" s="134"/>
      <c r="G26" s="134"/>
    </row>
    <row r="27" spans="1:7" s="22" customFormat="1" ht="15.75" customHeight="1">
      <c r="A27" s="55" t="s">
        <v>2</v>
      </c>
      <c r="B27" s="133">
        <f aca="true" t="shared" si="0" ref="B27:C29">B9+(B15-B21)</f>
        <v>5535319.9</v>
      </c>
      <c r="C27" s="133">
        <f t="shared" si="0"/>
        <v>6658207.81</v>
      </c>
      <c r="D27" s="134">
        <f aca="true" t="shared" si="1" ref="D27:E29">D9+(D15-D21)</f>
        <v>-226345.87999999995</v>
      </c>
      <c r="E27" s="134">
        <f t="shared" si="1"/>
        <v>16212.150000000001</v>
      </c>
      <c r="F27" s="134">
        <f>F9+(F15-F21)</f>
        <v>-149416.5</v>
      </c>
      <c r="G27" s="134">
        <f>SUM(B27:F27)</f>
        <v>11833977.48</v>
      </c>
    </row>
    <row r="28" spans="1:7" s="22" customFormat="1" ht="15.75" customHeight="1">
      <c r="A28" s="55" t="s">
        <v>3</v>
      </c>
      <c r="B28" s="133">
        <f t="shared" si="0"/>
        <v>1731753.35</v>
      </c>
      <c r="C28" s="133">
        <f t="shared" si="0"/>
        <v>376221.79000000004</v>
      </c>
      <c r="D28" s="134">
        <f t="shared" si="1"/>
        <v>-49620.09999999998</v>
      </c>
      <c r="E28" s="134">
        <f t="shared" si="1"/>
        <v>9291.83</v>
      </c>
      <c r="F28" s="134">
        <f>F10+(F16-F22)</f>
        <v>-7828.01</v>
      </c>
      <c r="G28" s="134">
        <f>SUM(B28:F28)</f>
        <v>2059818.86</v>
      </c>
    </row>
    <row r="29" spans="1:7" s="22" customFormat="1" ht="15.75" customHeight="1">
      <c r="A29" s="55" t="s">
        <v>4</v>
      </c>
      <c r="B29" s="140">
        <f t="shared" si="0"/>
        <v>30467.07</v>
      </c>
      <c r="C29" s="140">
        <f>C11+(C17-C23)</f>
        <v>-413.130000000001</v>
      </c>
      <c r="D29" s="134">
        <f t="shared" si="1"/>
        <v>0</v>
      </c>
      <c r="E29" s="134">
        <f t="shared" si="1"/>
        <v>0</v>
      </c>
      <c r="F29" s="134">
        <f>F11+(F17-F23)</f>
        <v>0</v>
      </c>
      <c r="G29" s="134">
        <f>SUM(B29:F29)</f>
        <v>30053.94</v>
      </c>
    </row>
    <row r="30" spans="1:9" ht="15.75" customHeight="1" thickBot="1">
      <c r="A30" s="57" t="s">
        <v>277</v>
      </c>
      <c r="B30" s="402">
        <f aca="true" t="shared" si="2" ref="B30:G30">SUM(B27:B29)</f>
        <v>7297540.32</v>
      </c>
      <c r="C30" s="402">
        <f>SUM(C27:C29)+1</f>
        <v>7034017.47</v>
      </c>
      <c r="D30" s="402">
        <f t="shared" si="2"/>
        <v>-275965.9799999999</v>
      </c>
      <c r="E30" s="402">
        <f t="shared" si="2"/>
        <v>25503.980000000003</v>
      </c>
      <c r="F30" s="402">
        <f t="shared" si="2"/>
        <v>-157244.51</v>
      </c>
      <c r="G30" s="402">
        <f t="shared" si="2"/>
        <v>13923850.28</v>
      </c>
      <c r="H30" s="65"/>
      <c r="I30" s="58"/>
    </row>
    <row r="31" spans="1:9" ht="15.75" customHeight="1" thickTop="1">
      <c r="A31" s="57"/>
      <c r="B31" s="353"/>
      <c r="C31" s="353"/>
      <c r="D31" s="353"/>
      <c r="E31" s="353"/>
      <c r="F31" s="353"/>
      <c r="G31" s="353"/>
      <c r="H31" s="65"/>
      <c r="I31" s="58"/>
    </row>
    <row r="32" spans="1:9" ht="15.75" customHeight="1">
      <c r="A32" s="57"/>
      <c r="B32" s="353"/>
      <c r="C32" s="353"/>
      <c r="D32" s="353"/>
      <c r="E32" s="353"/>
      <c r="F32" s="353"/>
      <c r="G32" s="353"/>
      <c r="H32" s="65"/>
      <c r="I32" s="58"/>
    </row>
    <row r="33" spans="1:8" ht="30" customHeight="1">
      <c r="A33" s="57"/>
      <c r="B33" s="146" t="s">
        <v>32</v>
      </c>
      <c r="C33" s="146" t="s">
        <v>33</v>
      </c>
      <c r="D33" s="354" t="s">
        <v>28</v>
      </c>
      <c r="E33" s="141"/>
      <c r="F33" s="141"/>
      <c r="H33" s="59"/>
    </row>
    <row r="34" spans="1:6" ht="15.75" customHeight="1">
      <c r="A34" s="60" t="s">
        <v>6</v>
      </c>
      <c r="B34" s="134"/>
      <c r="C34" s="134"/>
      <c r="D34" s="142"/>
      <c r="E34" s="142"/>
      <c r="F34" s="142"/>
    </row>
    <row r="35" spans="1:6" ht="15.75" customHeight="1">
      <c r="A35" s="55" t="s">
        <v>2</v>
      </c>
      <c r="B35" s="399">
        <f>'[7]IBNR Calculation-p13'!C36</f>
        <v>1188488.91</v>
      </c>
      <c r="C35" s="488">
        <f>'[7]IBNR Calculation-p13'!C30</f>
        <v>0</v>
      </c>
      <c r="D35" s="399">
        <f>SUM(B35:C35)</f>
        <v>1188488.91</v>
      </c>
      <c r="E35" s="68"/>
      <c r="F35" s="68"/>
    </row>
    <row r="36" spans="1:6" ht="15.75" customHeight="1">
      <c r="A36" s="55" t="s">
        <v>3</v>
      </c>
      <c r="B36" s="323">
        <f>'[7]IBNR Calculation-p13'!C37</f>
        <v>386066.32</v>
      </c>
      <c r="C36" s="323">
        <f>'[7]IBNR Calculation-p13'!C31</f>
        <v>0</v>
      </c>
      <c r="D36" s="68">
        <f>SUM(B36:C36)</f>
        <v>386066.32</v>
      </c>
      <c r="E36" s="355"/>
      <c r="F36" s="355"/>
    </row>
    <row r="37" spans="1:6" ht="15.75" customHeight="1">
      <c r="A37" s="55" t="s">
        <v>4</v>
      </c>
      <c r="B37" s="323">
        <f>'[7]IBNR Calculation-p13'!C38</f>
        <v>5467.07</v>
      </c>
      <c r="C37" s="323">
        <f>'[7]IBNR Calculation-p13'!C32</f>
        <v>0</v>
      </c>
      <c r="D37" s="68">
        <f>SUM(B37:C37)</f>
        <v>5467.07</v>
      </c>
      <c r="E37" s="355"/>
      <c r="F37" s="355"/>
    </row>
    <row r="38" spans="1:6" ht="15.75" customHeight="1" thickBot="1">
      <c r="A38" s="57" t="s">
        <v>277</v>
      </c>
      <c r="B38" s="401">
        <f>SUM(B35:B37)</f>
        <v>1580022.3</v>
      </c>
      <c r="C38" s="492">
        <f>SUM(C35:C37)</f>
        <v>0</v>
      </c>
      <c r="D38" s="401">
        <f>SUM(D35:D37)</f>
        <v>1580022.3</v>
      </c>
      <c r="E38" s="356"/>
      <c r="F38" s="356"/>
    </row>
    <row r="39" spans="1:8" ht="15.75" customHeight="1" thickTop="1">
      <c r="A39" s="57"/>
      <c r="B39" s="140"/>
      <c r="C39" s="140"/>
      <c r="D39" s="140"/>
      <c r="E39" s="144"/>
      <c r="F39" s="144"/>
      <c r="G39" s="141"/>
      <c r="H39" s="103"/>
    </row>
    <row r="40" spans="2:3" ht="15.75" customHeight="1">
      <c r="B40" s="134"/>
      <c r="C40" s="134"/>
    </row>
    <row r="41" spans="2:3" ht="15.75" customHeight="1">
      <c r="B41" s="134"/>
      <c r="C41" s="134"/>
    </row>
    <row r="42" spans="2:3" ht="15.75" customHeight="1">
      <c r="B42" s="134"/>
      <c r="C42" s="134"/>
    </row>
    <row r="43" spans="2:3" ht="15.75" customHeight="1">
      <c r="B43" s="134"/>
      <c r="C43" s="134"/>
    </row>
    <row r="44" spans="2:3" ht="15.75" customHeight="1">
      <c r="B44" s="134"/>
      <c r="C44" s="134"/>
    </row>
    <row r="45" spans="2:3" ht="15.75" customHeight="1">
      <c r="B45" s="134"/>
      <c r="C45" s="134"/>
    </row>
  </sheetData>
  <mergeCells count="3">
    <mergeCell ref="A1:G1"/>
    <mergeCell ref="A3:G3"/>
    <mergeCell ref="A4:G4"/>
  </mergeCells>
  <printOptions horizontalCentered="1"/>
  <pageMargins left="0.5" right="0.5" top="0.5" bottom="0.5" header="0.5" footer="0"/>
  <pageSetup horizontalDpi="600" verticalDpi="600" orientation="landscape" scale="80" r:id="rId1"/>
  <headerFooter alignWithMargins="0">
    <oddFooter>&amp;CPage 10</oddFooter>
  </headerFooter>
</worksheet>
</file>

<file path=xl/worksheets/sheet13.xml><?xml version="1.0" encoding="utf-8"?>
<worksheet xmlns="http://schemas.openxmlformats.org/spreadsheetml/2006/main" xmlns:r="http://schemas.openxmlformats.org/officeDocument/2006/relationships">
  <dimension ref="A1:AJ79"/>
  <sheetViews>
    <sheetView workbookViewId="0" topLeftCell="A1">
      <selection activeCell="A1" sqref="A1:G1"/>
    </sheetView>
  </sheetViews>
  <sheetFormatPr defaultColWidth="9.140625" defaultRowHeight="12.75"/>
  <cols>
    <col min="1" max="1" width="41.421875" style="15" customWidth="1"/>
    <col min="2" max="3" width="17.7109375" style="473" customWidth="1"/>
    <col min="4" max="7" width="17.7109375" style="318" customWidth="1"/>
    <col min="8" max="9" width="17.7109375" style="15" customWidth="1"/>
    <col min="10" max="16384" width="9.140625" style="15" customWidth="1"/>
  </cols>
  <sheetData>
    <row r="1" spans="1:7" s="112" customFormat="1" ht="25.5" customHeight="1">
      <c r="A1" s="113" t="s">
        <v>166</v>
      </c>
      <c r="B1" s="464"/>
      <c r="C1" s="464"/>
      <c r="D1" s="465"/>
      <c r="E1" s="465"/>
      <c r="F1" s="466"/>
      <c r="G1" s="466"/>
    </row>
    <row r="2" spans="1:7" ht="18.75">
      <c r="A2" s="16"/>
      <c r="B2" s="467"/>
      <c r="C2" s="467"/>
      <c r="D2" s="467"/>
      <c r="E2" s="467"/>
      <c r="F2" s="468"/>
      <c r="G2" s="469"/>
    </row>
    <row r="3" spans="1:7" s="30" customFormat="1" ht="15.75" customHeight="1">
      <c r="A3" s="18" t="s">
        <v>7</v>
      </c>
      <c r="B3" s="470"/>
      <c r="C3" s="470"/>
      <c r="D3" s="471"/>
      <c r="E3" s="471"/>
      <c r="F3" s="472"/>
      <c r="G3" s="472"/>
    </row>
    <row r="4" spans="1:7" s="30" customFormat="1" ht="15.75" customHeight="1">
      <c r="A4" s="18" t="s">
        <v>8</v>
      </c>
      <c r="B4" s="470"/>
      <c r="C4" s="470"/>
      <c r="D4" s="471"/>
      <c r="E4" s="471"/>
      <c r="F4" s="472"/>
      <c r="G4" s="472"/>
    </row>
    <row r="5" spans="1:7" s="30" customFormat="1" ht="15.75" customHeight="1">
      <c r="A5" s="18" t="s">
        <v>298</v>
      </c>
      <c r="B5" s="470"/>
      <c r="C5" s="470"/>
      <c r="D5" s="471"/>
      <c r="E5" s="471"/>
      <c r="F5" s="472"/>
      <c r="G5" s="472"/>
    </row>
    <row r="6" spans="1:7" ht="15.75" customHeight="1">
      <c r="A6" s="14"/>
      <c r="D6" s="469"/>
      <c r="E6" s="469"/>
      <c r="F6" s="469"/>
      <c r="G6" s="469"/>
    </row>
    <row r="7" spans="1:7" ht="34.5" customHeight="1">
      <c r="A7" s="34"/>
      <c r="B7" s="474" t="s">
        <v>32</v>
      </c>
      <c r="C7" s="474" t="s">
        <v>33</v>
      </c>
      <c r="D7" s="475" t="s">
        <v>139</v>
      </c>
      <c r="E7" s="475" t="s">
        <v>154</v>
      </c>
      <c r="F7" s="475" t="s">
        <v>131</v>
      </c>
      <c r="G7" s="476" t="s">
        <v>167</v>
      </c>
    </row>
    <row r="8" spans="1:7" ht="45" customHeight="1">
      <c r="A8" s="62" t="s">
        <v>9</v>
      </c>
      <c r="B8" s="477"/>
      <c r="C8" s="477"/>
      <c r="D8" s="477"/>
      <c r="E8" s="477"/>
      <c r="G8" s="478"/>
    </row>
    <row r="9" spans="1:35" ht="15.75" customHeight="1">
      <c r="A9" s="15" t="s">
        <v>274</v>
      </c>
      <c r="B9" s="487">
        <f>'[7]Loss Expenses Paid QTD-p16'!K34</f>
        <v>113776.01000000001</v>
      </c>
      <c r="C9" s="487">
        <f>'[7]Loss Expenses Paid QTD-p16'!K28</f>
        <v>106514.22</v>
      </c>
      <c r="D9" s="487">
        <f>'[7]Loss Expenses Paid QTD-p16'!K22</f>
        <v>7125.67</v>
      </c>
      <c r="E9" s="487">
        <f>'[7]Loss Expenses Paid QTD-p16'!K16</f>
        <v>1635.1100000000001</v>
      </c>
      <c r="F9" s="487">
        <f>'[7]Loss Expenses Paid QTD-p16'!K10</f>
        <v>3937.84</v>
      </c>
      <c r="G9" s="487">
        <f>SUM(B9:F9)</f>
        <v>232988.85</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row>
    <row r="10" spans="1:35" s="22" customFormat="1" ht="15.75" customHeight="1">
      <c r="A10" s="23" t="s">
        <v>275</v>
      </c>
      <c r="B10" s="68">
        <f>'[7]Loss Expenses Paid QTD-p16'!K35</f>
        <v>119818.8</v>
      </c>
      <c r="C10" s="68">
        <f>'[7]Loss Expenses Paid QTD-p16'!K29</f>
        <v>58021.23</v>
      </c>
      <c r="D10" s="68">
        <f>'[7]Loss Expenses Paid QTD-p16'!K23</f>
        <v>5967.209999999999</v>
      </c>
      <c r="E10" s="68">
        <f>'[7]Loss Expenses Paid QTD-p16'!K17</f>
        <v>0</v>
      </c>
      <c r="F10" s="68">
        <f>'[7]Loss Expenses Paid QTD-p16'!K11</f>
        <v>0</v>
      </c>
      <c r="G10" s="68">
        <f>SUM(B10:F10)</f>
        <v>183807.24</v>
      </c>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row>
    <row r="11" spans="1:35" s="22" customFormat="1" ht="15.75" customHeight="1">
      <c r="A11" s="23" t="s">
        <v>276</v>
      </c>
      <c r="B11" s="68">
        <f>'[7]Loss Expenses Paid QTD-p16'!K36</f>
        <v>126.17</v>
      </c>
      <c r="C11" s="68">
        <f>'[7]Loss Expenses Paid QTD-p16'!K30</f>
        <v>0</v>
      </c>
      <c r="D11" s="68">
        <f>'[7]Loss Expenses Paid QTD-p16'!K24</f>
        <v>0</v>
      </c>
      <c r="E11" s="68">
        <f>'[7]Loss Expenses Paid QTD-p16'!K18</f>
        <v>0</v>
      </c>
      <c r="F11" s="68">
        <f>'[7]Loss Expenses Paid QTD-p16'!K12</f>
        <v>0</v>
      </c>
      <c r="G11" s="68">
        <f>SUM(B11:F11)</f>
        <v>126.17</v>
      </c>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row>
    <row r="12" spans="1:35" s="22" customFormat="1" ht="15.75" customHeight="1" thickBot="1">
      <c r="A12" s="63" t="s">
        <v>277</v>
      </c>
      <c r="B12" s="156">
        <f aca="true" t="shared" si="0" ref="B12:G12">SUM(B9:B11)</f>
        <v>233720.98</v>
      </c>
      <c r="C12" s="156">
        <f t="shared" si="0"/>
        <v>164535.45</v>
      </c>
      <c r="D12" s="156">
        <f t="shared" si="0"/>
        <v>13092.88</v>
      </c>
      <c r="E12" s="156">
        <f t="shared" si="0"/>
        <v>1635.1100000000001</v>
      </c>
      <c r="F12" s="156">
        <f t="shared" si="0"/>
        <v>3937.84</v>
      </c>
      <c r="G12" s="72">
        <f t="shared" si="0"/>
        <v>416922.25999999995</v>
      </c>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row>
    <row r="13" spans="2:35" s="22" customFormat="1" ht="15.75" customHeight="1" thickTop="1">
      <c r="B13" s="69"/>
      <c r="C13" s="69"/>
      <c r="D13" s="68"/>
      <c r="E13" s="68"/>
      <c r="F13" s="68"/>
      <c r="G13" s="65"/>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row>
    <row r="14" spans="1:35" s="22" customFormat="1" ht="45" customHeight="1">
      <c r="A14" s="426" t="s">
        <v>297</v>
      </c>
      <c r="B14" s="69"/>
      <c r="C14" s="69"/>
      <c r="D14" s="68"/>
      <c r="E14" s="68"/>
      <c r="F14" s="68"/>
      <c r="G14" s="158"/>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row>
    <row r="15" spans="1:35" s="22" customFormat="1" ht="15.75" customHeight="1">
      <c r="A15" s="15" t="s">
        <v>274</v>
      </c>
      <c r="B15" s="69">
        <f>'Loss Expenses YTD-p12'!B15</f>
        <v>337867.09</v>
      </c>
      <c r="C15" s="69">
        <f>'Loss Expenses YTD-p12'!C15</f>
        <v>231301.85</v>
      </c>
      <c r="D15" s="68">
        <f>'Loss Expenses YTD-p12'!D15</f>
        <v>10898.35</v>
      </c>
      <c r="E15" s="68">
        <f>'Loss Expenses YTD-p12'!E15</f>
        <v>16939.79</v>
      </c>
      <c r="F15" s="68">
        <f>'Loss Expenses YTD-p12'!F15</f>
        <v>3171.1700000000005</v>
      </c>
      <c r="G15" s="68">
        <f>SUM(B15:F15)</f>
        <v>600178.2500000001</v>
      </c>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row>
    <row r="16" spans="1:35" s="22" customFormat="1" ht="15.75" customHeight="1">
      <c r="A16" s="23" t="s">
        <v>275</v>
      </c>
      <c r="B16" s="69">
        <f>'Loss Expenses YTD-p12'!B16</f>
        <v>93705.38</v>
      </c>
      <c r="C16" s="69">
        <f>'Loss Expenses YTD-p12'!C16</f>
        <v>19375.21</v>
      </c>
      <c r="D16" s="68">
        <f>'Loss Expenses YTD-p12'!D16</f>
        <v>1078.7199999999998</v>
      </c>
      <c r="E16" s="68">
        <f>'Loss Expenses YTD-p12'!E16</f>
        <v>0</v>
      </c>
      <c r="F16" s="68">
        <f>'Loss Expenses YTD-p12'!F16</f>
        <v>0</v>
      </c>
      <c r="G16" s="68">
        <f>SUM(B16:F16)</f>
        <v>114159.31</v>
      </c>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row>
    <row r="17" spans="1:35" s="22" customFormat="1" ht="15.75" customHeight="1">
      <c r="A17" s="23" t="s">
        <v>276</v>
      </c>
      <c r="B17" s="69">
        <f>'Loss Expenses YTD-p12'!B17</f>
        <v>2850.76</v>
      </c>
      <c r="C17" s="69">
        <f>'Loss Expenses YTD-p12'!C17</f>
        <v>0</v>
      </c>
      <c r="D17" s="68">
        <f>'Loss Expenses YTD-p12'!D17</f>
        <v>0</v>
      </c>
      <c r="E17" s="68">
        <f>'Loss Expenses YTD-p12'!E17</f>
        <v>0</v>
      </c>
      <c r="F17" s="68">
        <f>'Loss Expenses YTD-p12'!F17</f>
        <v>0</v>
      </c>
      <c r="G17" s="68">
        <f>SUM(B17:F17)</f>
        <v>2850.76</v>
      </c>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row>
    <row r="18" spans="1:35" s="22" customFormat="1" ht="15.75" customHeight="1" thickBot="1">
      <c r="A18" s="63" t="s">
        <v>277</v>
      </c>
      <c r="B18" s="80">
        <f>SUM(B15:B17)</f>
        <v>434423.23000000004</v>
      </c>
      <c r="C18" s="80">
        <f>SUM(C15:C17)</f>
        <v>250677.06</v>
      </c>
      <c r="D18" s="156">
        <f>SUM(D15:D17)</f>
        <v>11977.07</v>
      </c>
      <c r="E18" s="156">
        <f>SUM(E15:E17)</f>
        <v>16939.79</v>
      </c>
      <c r="F18" s="156">
        <f>SUM(F15:F17)</f>
        <v>3171.1700000000005</v>
      </c>
      <c r="G18" s="72">
        <f>SUM(B18:F18)</f>
        <v>717188.3200000001</v>
      </c>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row>
    <row r="19" spans="2:35" s="22" customFormat="1" ht="15.75" customHeight="1" thickTop="1">
      <c r="B19" s="69"/>
      <c r="C19" s="69"/>
      <c r="D19" s="68"/>
      <c r="E19" s="68"/>
      <c r="F19" s="68"/>
      <c r="G19" s="65"/>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row>
    <row r="20" spans="1:35" s="22" customFormat="1" ht="45" customHeight="1">
      <c r="A20" s="426" t="s">
        <v>299</v>
      </c>
      <c r="B20" s="129"/>
      <c r="C20" s="129"/>
      <c r="D20" s="486"/>
      <c r="E20" s="486"/>
      <c r="F20" s="486"/>
      <c r="G20" s="158"/>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row>
    <row r="21" spans="1:35" s="22" customFormat="1" ht="15.75" customHeight="1">
      <c r="A21" s="15" t="s">
        <v>274</v>
      </c>
      <c r="B21" s="69">
        <f>'[8]Loss Expenses YTD-p12'!B15</f>
        <v>181133.75</v>
      </c>
      <c r="C21" s="69">
        <f>'[8]Loss Expenses YTD-p12'!C15</f>
        <v>269698.94999999995</v>
      </c>
      <c r="D21" s="68">
        <f>'[8]Loss Expenses YTD-p12'!D15</f>
        <v>11238.67</v>
      </c>
      <c r="E21" s="68">
        <f>'[8]Loss Expenses YTD-p12'!E15</f>
        <v>10070.58</v>
      </c>
      <c r="F21" s="68">
        <f>'[8]Loss Expenses YTD-p12'!F15</f>
        <v>3075.8600000000006</v>
      </c>
      <c r="G21" s="68">
        <f>SUM(B21:F21)</f>
        <v>475217.80999999994</v>
      </c>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row>
    <row r="22" spans="1:35" s="22" customFormat="1" ht="15.75" customHeight="1">
      <c r="A22" s="23" t="s">
        <v>10</v>
      </c>
      <c r="B22" s="69">
        <f>'[8]Loss Expenses YTD-p12'!B16</f>
        <v>23721.940000000002</v>
      </c>
      <c r="C22" s="69">
        <f>'[8]Loss Expenses YTD-p12'!C16</f>
        <v>21665.05</v>
      </c>
      <c r="D22" s="68">
        <f>'[8]Loss Expenses YTD-p12'!D16+0.23+0.67-1</f>
        <v>4119.349999999999</v>
      </c>
      <c r="E22" s="68">
        <v>0</v>
      </c>
      <c r="F22" s="68">
        <v>0</v>
      </c>
      <c r="G22" s="68">
        <f>SUM(B22:F22)</f>
        <v>49506.340000000004</v>
      </c>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row>
    <row r="23" spans="1:35" s="22" customFormat="1" ht="15.75" customHeight="1">
      <c r="A23" s="23" t="s">
        <v>276</v>
      </c>
      <c r="B23" s="69">
        <f>'[8]Loss Expenses YTD-p12'!B17</f>
        <v>0</v>
      </c>
      <c r="C23" s="69">
        <f>'[8]Loss Expenses YTD-p12'!C17</f>
        <v>0</v>
      </c>
      <c r="D23" s="68">
        <f>'[8]Loss Expenses YTD-p12'!D17</f>
        <v>0</v>
      </c>
      <c r="E23" s="68">
        <f>'[8]Loss Expenses YTD-p12'!E17</f>
        <v>0</v>
      </c>
      <c r="F23" s="68">
        <f>'[8]Loss Expenses YTD-p12'!F17</f>
        <v>0</v>
      </c>
      <c r="G23" s="68">
        <f>SUM(B23:F23)</f>
        <v>0</v>
      </c>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row>
    <row r="24" spans="1:35" s="22" customFormat="1" ht="15.75" customHeight="1" thickBot="1">
      <c r="A24" s="63" t="s">
        <v>277</v>
      </c>
      <c r="B24" s="80">
        <f aca="true" t="shared" si="1" ref="B24:G24">SUM(B21:B23)</f>
        <v>204855.69</v>
      </c>
      <c r="C24" s="80">
        <f t="shared" si="1"/>
        <v>291363.99999999994</v>
      </c>
      <c r="D24" s="80">
        <f t="shared" si="1"/>
        <v>15358.02</v>
      </c>
      <c r="E24" s="80">
        <f t="shared" si="1"/>
        <v>10070.58</v>
      </c>
      <c r="F24" s="80">
        <f t="shared" si="1"/>
        <v>3075.8600000000006</v>
      </c>
      <c r="G24" s="72">
        <f t="shared" si="1"/>
        <v>524724.1499999999</v>
      </c>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row>
    <row r="25" spans="2:35" s="121" customFormat="1" ht="15.75" customHeight="1" thickTop="1">
      <c r="B25" s="129"/>
      <c r="C25" s="129"/>
      <c r="D25" s="129"/>
      <c r="E25" s="129"/>
      <c r="F25" s="129"/>
      <c r="G25" s="129"/>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row>
    <row r="26" spans="1:35" s="22" customFormat="1" ht="45" customHeight="1">
      <c r="A26" s="426" t="s">
        <v>126</v>
      </c>
      <c r="B26" s="69"/>
      <c r="C26" s="69"/>
      <c r="D26" s="486"/>
      <c r="E26" s="486"/>
      <c r="F26" s="486"/>
      <c r="G26" s="158"/>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row>
    <row r="27" spans="1:35" s="22" customFormat="1" ht="15.75" customHeight="1">
      <c r="A27" s="22" t="s">
        <v>274</v>
      </c>
      <c r="B27" s="68">
        <f aca="true" t="shared" si="2" ref="B27:C29">B9+B15-B21</f>
        <v>270509.35000000003</v>
      </c>
      <c r="C27" s="68">
        <f t="shared" si="2"/>
        <v>68117.12000000005</v>
      </c>
      <c r="D27" s="68">
        <f aca="true" t="shared" si="3" ref="D27:F29">D9+D15-D21</f>
        <v>6785.35</v>
      </c>
      <c r="E27" s="68">
        <f t="shared" si="3"/>
        <v>8504.320000000002</v>
      </c>
      <c r="F27" s="68">
        <f t="shared" si="3"/>
        <v>4033.1499999999996</v>
      </c>
      <c r="G27" s="68">
        <f>SUM(B27:F27)</f>
        <v>357949.2900000001</v>
      </c>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row>
    <row r="28" spans="1:35" s="22" customFormat="1" ht="15.75" customHeight="1">
      <c r="A28" s="23" t="s">
        <v>275</v>
      </c>
      <c r="B28" s="68">
        <f>B10+B16-B22</f>
        <v>189802.24</v>
      </c>
      <c r="C28" s="68">
        <f>C10+C16-C22</f>
        <v>55731.39</v>
      </c>
      <c r="D28" s="68">
        <f>D10+D16-D22</f>
        <v>2926.579999999999</v>
      </c>
      <c r="E28" s="68">
        <f t="shared" si="3"/>
        <v>0</v>
      </c>
      <c r="F28" s="68">
        <f t="shared" si="3"/>
        <v>0</v>
      </c>
      <c r="G28" s="68">
        <f>SUM(B28:F28)</f>
        <v>248460.21</v>
      </c>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row>
    <row r="29" spans="1:35" s="22" customFormat="1" ht="15.75" customHeight="1">
      <c r="A29" s="23" t="s">
        <v>276</v>
      </c>
      <c r="B29" s="68">
        <f t="shared" si="2"/>
        <v>2976.9300000000003</v>
      </c>
      <c r="C29" s="68">
        <f t="shared" si="2"/>
        <v>0</v>
      </c>
      <c r="D29" s="68">
        <f t="shared" si="3"/>
        <v>0</v>
      </c>
      <c r="E29" s="68">
        <f t="shared" si="3"/>
        <v>0</v>
      </c>
      <c r="F29" s="68">
        <f t="shared" si="3"/>
        <v>0</v>
      </c>
      <c r="G29" s="68">
        <f>SUM(B29:F29)</f>
        <v>2976.9300000000003</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row>
    <row r="30" spans="1:35" ht="15.75" customHeight="1" thickBot="1">
      <c r="A30" s="37" t="s">
        <v>277</v>
      </c>
      <c r="B30" s="204">
        <f>SUM(B27:B29)-1</f>
        <v>463287.52</v>
      </c>
      <c r="C30" s="204">
        <f>SUM(C27:C29)-1</f>
        <v>123847.51000000005</v>
      </c>
      <c r="D30" s="204">
        <f>SUM(D27:D29)</f>
        <v>9711.93</v>
      </c>
      <c r="E30" s="204">
        <f>SUM(E27:E29)</f>
        <v>8504.320000000002</v>
      </c>
      <c r="F30" s="204">
        <f>SUM(F27:F29)</f>
        <v>4033.1499999999996</v>
      </c>
      <c r="G30" s="204">
        <f>SUM(G27:G29)</f>
        <v>609386.4300000002</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row>
    <row r="31" spans="6:36" ht="15.75" customHeight="1" thickTop="1">
      <c r="F31" s="332"/>
      <c r="G31" s="332"/>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row>
    <row r="32" spans="2:36" s="70" customFormat="1" ht="15.75" customHeight="1">
      <c r="B32" s="473"/>
      <c r="C32" s="473"/>
      <c r="D32" s="318"/>
      <c r="E32" s="318"/>
      <c r="F32" s="318"/>
      <c r="G32" s="31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row>
    <row r="33" spans="6:36" ht="15.75" customHeight="1">
      <c r="F33" s="332"/>
      <c r="G33" s="332"/>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row>
    <row r="34" spans="6:36" ht="15.75" customHeight="1">
      <c r="F34" s="332"/>
      <c r="G34" s="332"/>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row>
    <row r="35" spans="6:36" ht="15.75" customHeight="1">
      <c r="F35" s="332"/>
      <c r="G35" s="332"/>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row>
    <row r="36" spans="6:36" ht="15.75">
      <c r="F36" s="332"/>
      <c r="G36" s="332"/>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row>
    <row r="37" spans="6:36" ht="15.75">
      <c r="F37" s="332"/>
      <c r="G37" s="332"/>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row>
    <row r="38" spans="6:36" ht="15.75">
      <c r="F38" s="332"/>
      <c r="G38" s="332"/>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row>
    <row r="39" spans="6:36" ht="15.75">
      <c r="F39" s="332"/>
      <c r="G39" s="332"/>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row>
    <row r="40" spans="6:36" ht="15.75">
      <c r="F40" s="332"/>
      <c r="G40" s="332"/>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row>
    <row r="41" spans="6:36" ht="15.75">
      <c r="F41" s="332"/>
      <c r="G41" s="332"/>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row>
    <row r="42" spans="6:36" ht="15.75">
      <c r="F42" s="332"/>
      <c r="G42" s="332"/>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row>
    <row r="43" spans="6:36" ht="15.75">
      <c r="F43" s="332"/>
      <c r="G43" s="332"/>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row>
    <row r="44" spans="6:36" ht="15.75">
      <c r="F44" s="332"/>
      <c r="G44" s="332"/>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row>
    <row r="45" spans="6:36" ht="15.75">
      <c r="F45" s="332"/>
      <c r="G45" s="332"/>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row>
    <row r="46" spans="6:36" ht="15.75">
      <c r="F46" s="332"/>
      <c r="G46" s="332"/>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row>
    <row r="47" spans="6:36" ht="15.75">
      <c r="F47" s="332"/>
      <c r="G47" s="332"/>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row>
    <row r="48" spans="6:36" ht="15.75">
      <c r="F48" s="332"/>
      <c r="G48" s="332"/>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row>
    <row r="49" spans="6:36" ht="15.75">
      <c r="F49" s="332"/>
      <c r="G49" s="332"/>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row>
    <row r="50" spans="6:36" ht="15.75">
      <c r="F50" s="332"/>
      <c r="G50" s="332"/>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row>
    <row r="51" spans="6:36" ht="15.75">
      <c r="F51" s="332"/>
      <c r="G51" s="332"/>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row>
    <row r="52" spans="6:36" ht="15.75">
      <c r="F52" s="332"/>
      <c r="G52" s="332"/>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row>
    <row r="53" spans="6:36" ht="15.75">
      <c r="F53" s="332"/>
      <c r="G53" s="332"/>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row>
    <row r="54" spans="6:36" ht="15.75">
      <c r="F54" s="332"/>
      <c r="G54" s="332"/>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row>
    <row r="55" spans="6:36" ht="15.75">
      <c r="F55" s="332"/>
      <c r="G55" s="332"/>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row>
    <row r="56" spans="6:36" ht="15.75">
      <c r="F56" s="332"/>
      <c r="G56" s="332"/>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row>
    <row r="57" spans="6:36" ht="15.75">
      <c r="F57" s="332"/>
      <c r="G57" s="332"/>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row>
    <row r="58" spans="6:36" ht="15.75">
      <c r="F58" s="332"/>
      <c r="G58" s="332"/>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row>
    <row r="59" spans="6:36" ht="15.75">
      <c r="F59" s="332"/>
      <c r="G59" s="332"/>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row>
    <row r="60" spans="6:36" ht="15.75">
      <c r="F60" s="332"/>
      <c r="G60" s="332"/>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row>
    <row r="61" spans="6:36" ht="15.75">
      <c r="F61" s="332"/>
      <c r="G61" s="332"/>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row>
    <row r="62" spans="6:36" ht="15.75">
      <c r="F62" s="332"/>
      <c r="G62" s="332"/>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row>
    <row r="63" spans="6:36" ht="15.75">
      <c r="F63" s="332"/>
      <c r="G63" s="332"/>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row>
    <row r="64" spans="6:36" ht="15.75">
      <c r="F64" s="332"/>
      <c r="G64" s="332"/>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row>
    <row r="65" spans="6:36" ht="15.75">
      <c r="F65" s="332"/>
      <c r="G65" s="332"/>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row>
    <row r="66" spans="6:36" ht="15.75">
      <c r="F66" s="332"/>
      <c r="G66" s="332"/>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row>
    <row r="67" spans="6:36" ht="15.75">
      <c r="F67" s="332"/>
      <c r="G67" s="332"/>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row>
    <row r="68" spans="6:36" ht="15.75">
      <c r="F68" s="332"/>
      <c r="G68" s="332"/>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row>
    <row r="69" spans="6:36" ht="15.75">
      <c r="F69" s="332"/>
      <c r="G69" s="332"/>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row>
    <row r="70" spans="6:36" ht="15.75">
      <c r="F70" s="332"/>
      <c r="G70" s="332"/>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row>
    <row r="71" spans="6:36" ht="15.75">
      <c r="F71" s="332"/>
      <c r="G71" s="332"/>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row>
    <row r="72" spans="6:36" ht="15.75">
      <c r="F72" s="332"/>
      <c r="G72" s="332"/>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row>
    <row r="73" spans="6:36" ht="15.75">
      <c r="F73" s="332"/>
      <c r="G73" s="332"/>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row>
    <row r="74" spans="6:36" ht="15.75">
      <c r="F74" s="332"/>
      <c r="G74" s="332"/>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row>
    <row r="75" spans="6:36" ht="15.75">
      <c r="F75" s="332"/>
      <c r="G75" s="332"/>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row>
    <row r="76" spans="6:36" ht="15.75">
      <c r="F76" s="332"/>
      <c r="G76" s="332"/>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row>
    <row r="77" spans="6:36" ht="15.75">
      <c r="F77" s="332"/>
      <c r="G77" s="332"/>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row>
    <row r="78" spans="6:36" ht="15.75">
      <c r="F78" s="332"/>
      <c r="G78" s="332"/>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row>
    <row r="79" spans="6:36" ht="15.75">
      <c r="F79" s="332"/>
      <c r="G79" s="332"/>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row>
  </sheetData>
  <printOptions horizontalCentered="1"/>
  <pageMargins left="0.5" right="0.5" top="0.5" bottom="0.5" header="0.5" footer="0"/>
  <pageSetup horizontalDpi="300" verticalDpi="300" orientation="landscape" scale="80" r:id="rId1"/>
  <headerFooter alignWithMargins="0">
    <oddFooter>&amp;CPage 11
</oddFooter>
  </headerFooter>
</worksheet>
</file>

<file path=xl/worksheets/sheet14.xml><?xml version="1.0" encoding="utf-8"?>
<worksheet xmlns="http://schemas.openxmlformats.org/spreadsheetml/2006/main" xmlns:r="http://schemas.openxmlformats.org/officeDocument/2006/relationships">
  <dimension ref="A1:AM79"/>
  <sheetViews>
    <sheetView workbookViewId="0" topLeftCell="A1">
      <selection activeCell="A1" sqref="A1:G1"/>
    </sheetView>
  </sheetViews>
  <sheetFormatPr defaultColWidth="9.140625" defaultRowHeight="12.75"/>
  <cols>
    <col min="1" max="1" width="41.421875" style="15" customWidth="1"/>
    <col min="2" max="2" width="17.7109375" style="463" customWidth="1"/>
    <col min="3" max="3" width="17.7109375" style="454" customWidth="1"/>
    <col min="4" max="7" width="17.7109375" style="459" customWidth="1"/>
    <col min="8" max="8" width="17.7109375" style="24" customWidth="1"/>
    <col min="9" max="9" width="17.7109375" style="15" customWidth="1"/>
    <col min="10" max="10" width="9.57421875" style="15" bestFit="1" customWidth="1"/>
    <col min="11" max="16384" width="9.140625" style="15" customWidth="1"/>
  </cols>
  <sheetData>
    <row r="1" spans="1:7" s="112" customFormat="1" ht="25.5" customHeight="1">
      <c r="A1" s="113" t="s">
        <v>166</v>
      </c>
      <c r="B1" s="441"/>
      <c r="C1" s="442"/>
      <c r="D1" s="443"/>
      <c r="E1" s="443"/>
      <c r="F1" s="444"/>
      <c r="G1" s="444"/>
    </row>
    <row r="2" spans="1:8" ht="18.75" customHeight="1">
      <c r="A2" s="16"/>
      <c r="B2" s="445"/>
      <c r="C2" s="446"/>
      <c r="D2" s="446"/>
      <c r="E2" s="446"/>
      <c r="F2" s="447"/>
      <c r="G2" s="448"/>
      <c r="H2" s="15"/>
    </row>
    <row r="3" spans="1:7" s="30" customFormat="1" ht="15.75" customHeight="1">
      <c r="A3" s="18" t="s">
        <v>7</v>
      </c>
      <c r="B3" s="449"/>
      <c r="C3" s="450"/>
      <c r="D3" s="451"/>
      <c r="E3" s="451"/>
      <c r="F3" s="452"/>
      <c r="G3" s="452"/>
    </row>
    <row r="4" spans="1:7" s="30" customFormat="1" ht="15.75" customHeight="1">
      <c r="A4" s="18" t="s">
        <v>8</v>
      </c>
      <c r="B4" s="449"/>
      <c r="C4" s="450"/>
      <c r="D4" s="451"/>
      <c r="E4" s="451"/>
      <c r="F4" s="452"/>
      <c r="G4" s="452"/>
    </row>
    <row r="5" spans="1:7" s="30" customFormat="1" ht="15.75" customHeight="1">
      <c r="A5" s="18" t="s">
        <v>295</v>
      </c>
      <c r="B5" s="449"/>
      <c r="C5" s="450"/>
      <c r="D5" s="451"/>
      <c r="E5" s="451"/>
      <c r="F5" s="452"/>
      <c r="G5" s="452"/>
    </row>
    <row r="6" spans="1:8" ht="15.75" customHeight="1">
      <c r="A6" s="14"/>
      <c r="B6" s="453"/>
      <c r="D6" s="448"/>
      <c r="E6" s="448"/>
      <c r="F6" s="448"/>
      <c r="G6" s="448"/>
      <c r="H6" s="15"/>
    </row>
    <row r="7" spans="1:8" ht="47.25" customHeight="1">
      <c r="A7" s="34"/>
      <c r="B7" s="455" t="s">
        <v>32</v>
      </c>
      <c r="C7" s="455" t="s">
        <v>33</v>
      </c>
      <c r="D7" s="456" t="s">
        <v>139</v>
      </c>
      <c r="E7" s="456" t="s">
        <v>154</v>
      </c>
      <c r="F7" s="456" t="s">
        <v>131</v>
      </c>
      <c r="G7" s="457" t="s">
        <v>167</v>
      </c>
      <c r="H7" s="15"/>
    </row>
    <row r="8" spans="1:8" ht="45" customHeight="1">
      <c r="A8" s="62" t="s">
        <v>322</v>
      </c>
      <c r="B8" s="458"/>
      <c r="C8" s="458"/>
      <c r="G8" s="460"/>
      <c r="H8" s="15"/>
    </row>
    <row r="9" spans="1:38" ht="15.75" customHeight="1">
      <c r="A9" s="15" t="s">
        <v>274</v>
      </c>
      <c r="B9" s="484">
        <f>'[7]Loss Expenses Paid YTD-p17'!K34</f>
        <v>178985.61</v>
      </c>
      <c r="C9" s="484">
        <f>'[7]Loss Expenses Paid YTD-p17'!K28</f>
        <v>732367.33</v>
      </c>
      <c r="D9" s="484">
        <f>'[7]Loss Expenses Paid YTD-p17'!K22</f>
        <v>74510.18000000001</v>
      </c>
      <c r="E9" s="484">
        <f>'[7]Loss Expenses Paid YTD-p17'!K16</f>
        <v>8250.83</v>
      </c>
      <c r="F9" s="484">
        <f>'[7]Loss Expenses Paid YTD-p17'!K10</f>
        <v>26235.949999999997</v>
      </c>
      <c r="G9" s="484">
        <f>SUM(B9:F9)</f>
        <v>1020349.8999999999</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row>
    <row r="10" spans="1:38" s="22" customFormat="1" ht="15.75" customHeight="1">
      <c r="A10" s="23" t="s">
        <v>275</v>
      </c>
      <c r="B10" s="479">
        <f>'[7]Loss Expenses Paid YTD-p17'!K35</f>
        <v>184789.1</v>
      </c>
      <c r="C10" s="479">
        <f>'[7]Loss Expenses Paid YTD-p17'!K29</f>
        <v>316767.49</v>
      </c>
      <c r="D10" s="479">
        <f>'[7]Loss Expenses Paid YTD-p17'!K23</f>
        <v>40119.619999999995</v>
      </c>
      <c r="E10" s="479">
        <f>'[7]Loss Expenses Paid YTD-p17'!K17</f>
        <v>4585.02</v>
      </c>
      <c r="F10" s="479">
        <f>'[7]Loss Expenses Paid YTD-p17'!K11</f>
        <v>2209.7799999999997</v>
      </c>
      <c r="G10" s="479">
        <f>SUM(B10:F10)</f>
        <v>548471.01</v>
      </c>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row>
    <row r="11" spans="1:38" s="22" customFormat="1" ht="15.75" customHeight="1">
      <c r="A11" s="23" t="s">
        <v>276</v>
      </c>
      <c r="B11" s="479">
        <f>'[7]Loss Expenses Paid YTD-p17'!K36</f>
        <v>126.17</v>
      </c>
      <c r="C11" s="479">
        <f>'[7]Loss Expenses Paid YTD-p17'!K30</f>
        <v>1850.9</v>
      </c>
      <c r="D11" s="479">
        <f>'[7]Loss Expenses Paid YTD-p17'!K24</f>
        <v>0</v>
      </c>
      <c r="E11" s="479">
        <f>'[7]Loss Expenses Paid YTD-p17'!K18</f>
        <v>0</v>
      </c>
      <c r="F11" s="479">
        <f>'[7]Loss Expenses Paid YTD-p17'!K12</f>
        <v>0</v>
      </c>
      <c r="G11" s="479">
        <f>SUM(B11:F11)</f>
        <v>1977.0700000000002</v>
      </c>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row>
    <row r="12" spans="1:38" s="22" customFormat="1" ht="15.75" customHeight="1" thickBot="1">
      <c r="A12" s="63" t="s">
        <v>277</v>
      </c>
      <c r="B12" s="480">
        <f>SUM(B9:B11)</f>
        <v>363900.87999999995</v>
      </c>
      <c r="C12" s="480">
        <f>SUM(C9:C11)-1</f>
        <v>1050984.7199999997</v>
      </c>
      <c r="D12" s="480">
        <f>SUM(D9:D11)</f>
        <v>114629.8</v>
      </c>
      <c r="E12" s="480">
        <f>SUM(E9:E11)</f>
        <v>12835.85</v>
      </c>
      <c r="F12" s="480">
        <f>SUM(F9:F11)</f>
        <v>28445.729999999996</v>
      </c>
      <c r="G12" s="481">
        <f>SUM(B12:F12)+1</f>
        <v>1570797.9799999997</v>
      </c>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row>
    <row r="13" spans="2:38" s="22" customFormat="1" ht="15.75" customHeight="1" thickTop="1">
      <c r="B13" s="405"/>
      <c r="C13" s="405"/>
      <c r="D13" s="479"/>
      <c r="E13" s="479"/>
      <c r="F13" s="479"/>
      <c r="G13" s="479"/>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row>
    <row r="14" spans="1:38" s="22" customFormat="1" ht="45" customHeight="1">
      <c r="A14" s="426" t="s">
        <v>296</v>
      </c>
      <c r="B14" s="405"/>
      <c r="C14" s="405"/>
      <c r="D14" s="479"/>
      <c r="E14" s="479"/>
      <c r="F14" s="479"/>
      <c r="G14" s="479"/>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row>
    <row r="15" spans="1:38" s="22" customFormat="1" ht="15.75" customHeight="1">
      <c r="A15" s="15" t="s">
        <v>274</v>
      </c>
      <c r="B15" s="479">
        <f>'[7]Calculate Unpaid Losses-p14'!B30</f>
        <v>337867.09</v>
      </c>
      <c r="C15" s="479">
        <f>'[7]Calculate Unpaid Losses-p14'!C30</f>
        <v>231301.85</v>
      </c>
      <c r="D15" s="479">
        <f>'[7]Calculate Unpaid Losses-p14'!D30</f>
        <v>10898.35</v>
      </c>
      <c r="E15" s="479">
        <f>'[7]Calculate Unpaid Losses-p14'!E30</f>
        <v>16939.79</v>
      </c>
      <c r="F15" s="479">
        <f>'[7]Calculate Unpaid Losses-p14'!F30</f>
        <v>3171.1700000000005</v>
      </c>
      <c r="G15" s="479">
        <f>SUM(B15:F15)</f>
        <v>600178.2500000001</v>
      </c>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s="22" customFormat="1" ht="15.75" customHeight="1">
      <c r="A16" s="23" t="s">
        <v>275</v>
      </c>
      <c r="B16" s="479">
        <f>'[7]Calculate Unpaid Losses-p14'!B31</f>
        <v>93705.38</v>
      </c>
      <c r="C16" s="479">
        <f>'[7]Calculate Unpaid Losses-p14'!C31</f>
        <v>19375.21</v>
      </c>
      <c r="D16" s="479">
        <f>'[7]Calculate Unpaid Losses-p14'!D31</f>
        <v>1078.7199999999998</v>
      </c>
      <c r="E16" s="479">
        <v>0</v>
      </c>
      <c r="F16" s="479">
        <v>0</v>
      </c>
      <c r="G16" s="479">
        <f>SUM(B16:F16)</f>
        <v>114159.31</v>
      </c>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s="22" customFormat="1" ht="15.75" customHeight="1">
      <c r="A17" s="23" t="s">
        <v>276</v>
      </c>
      <c r="B17" s="479">
        <f>'[7]Calculate Unpaid Losses-p14'!B32</f>
        <v>2850.76</v>
      </c>
      <c r="C17" s="479">
        <f>'[7]Calculate Unpaid Losses-p14'!C32</f>
        <v>0</v>
      </c>
      <c r="D17" s="479">
        <f>'[7]Calculate Unpaid Losses-p14'!D32</f>
        <v>0</v>
      </c>
      <c r="E17" s="479">
        <f>'[7]Calculate Unpaid Losses-p14'!E32</f>
        <v>0</v>
      </c>
      <c r="F17" s="479">
        <f>'[7]Calculate Unpaid Losses-p14'!F32</f>
        <v>0</v>
      </c>
      <c r="G17" s="479">
        <f>SUM(B17:F17)</f>
        <v>2850.76</v>
      </c>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s="22" customFormat="1" ht="15.75" customHeight="1" thickBot="1">
      <c r="A18" s="63" t="s">
        <v>277</v>
      </c>
      <c r="B18" s="480">
        <f aca="true" t="shared" si="0" ref="B18:G18">SUM(B15:B17)</f>
        <v>434423.23000000004</v>
      </c>
      <c r="C18" s="480">
        <f t="shared" si="0"/>
        <v>250677.06</v>
      </c>
      <c r="D18" s="480">
        <f t="shared" si="0"/>
        <v>11977.07</v>
      </c>
      <c r="E18" s="480">
        <f t="shared" si="0"/>
        <v>16939.79</v>
      </c>
      <c r="F18" s="480">
        <f t="shared" si="0"/>
        <v>3171.1700000000005</v>
      </c>
      <c r="G18" s="481">
        <f t="shared" si="0"/>
        <v>717188.3200000001</v>
      </c>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2:38" s="22" customFormat="1" ht="15.75" customHeight="1" thickTop="1">
      <c r="B19" s="405"/>
      <c r="C19" s="405"/>
      <c r="D19" s="479"/>
      <c r="E19" s="479"/>
      <c r="F19" s="479"/>
      <c r="G19" s="479"/>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row>
    <row r="20" spans="1:38" s="22" customFormat="1" ht="45" customHeight="1">
      <c r="A20" s="426" t="s">
        <v>122</v>
      </c>
      <c r="B20" s="482"/>
      <c r="C20" s="482"/>
      <c r="D20" s="483"/>
      <c r="E20" s="483"/>
      <c r="F20" s="483"/>
      <c r="G20" s="479"/>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row>
    <row r="21" spans="1:38" s="22" customFormat="1" ht="15.75" customHeight="1">
      <c r="A21" s="15" t="s">
        <v>274</v>
      </c>
      <c r="B21" s="479">
        <f>'[8]Loss Expenses YTD-p12'!B21</f>
        <v>0</v>
      </c>
      <c r="C21" s="479">
        <f>'[8]Loss Expenses YTD-p12'!C21</f>
        <v>317462.7</v>
      </c>
      <c r="D21" s="479">
        <f>'[8]Loss Expenses YTD-p12'!D21</f>
        <v>88557.88</v>
      </c>
      <c r="E21" s="479">
        <f>'[8]Loss Expenses YTD-p12'!E21</f>
        <v>19238.94</v>
      </c>
      <c r="F21" s="479">
        <f>'[8]Loss Expenses YTD-p12'!F21</f>
        <v>8488.33</v>
      </c>
      <c r="G21" s="479">
        <f>SUM(B21:F21)</f>
        <v>433747.85000000003</v>
      </c>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row>
    <row r="22" spans="1:38" s="22" customFormat="1" ht="15.75" customHeight="1">
      <c r="A22" s="23" t="s">
        <v>10</v>
      </c>
      <c r="B22" s="479">
        <f>'[8]Loss Expenses YTD-p12'!B22</f>
        <v>0</v>
      </c>
      <c r="C22" s="479">
        <f>'[8]Loss Expenses YTD-p12'!C22</f>
        <v>25507.54</v>
      </c>
      <c r="D22" s="479">
        <f>'[8]Loss Expenses YTD-p12'!D22</f>
        <v>15153.62</v>
      </c>
      <c r="E22" s="479">
        <f>'[8]Loss Expenses YTD-p12'!E22</f>
        <v>-109.2</v>
      </c>
      <c r="F22" s="479">
        <f>'[8]Loss Expenses YTD-p12'!F22</f>
        <v>259.41</v>
      </c>
      <c r="G22" s="479">
        <f>SUM(B22:F22)</f>
        <v>40811.37000000001</v>
      </c>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row>
    <row r="23" spans="1:38" s="22" customFormat="1" ht="15.75" customHeight="1">
      <c r="A23" s="23" t="s">
        <v>276</v>
      </c>
      <c r="B23" s="479">
        <f>'[8]Loss Expenses YTD-p12'!B23</f>
        <v>0</v>
      </c>
      <c r="C23" s="479">
        <f>'[8]Loss Expenses YTD-p12'!C23</f>
        <v>278</v>
      </c>
      <c r="D23" s="479">
        <f>'[8]Loss Expenses YTD-p12'!D23</f>
        <v>0</v>
      </c>
      <c r="E23" s="479">
        <f>'[8]Loss Expenses YTD-p12'!E23</f>
        <v>0</v>
      </c>
      <c r="F23" s="479">
        <f>'[8]Loss Expenses YTD-p12'!F23</f>
        <v>0</v>
      </c>
      <c r="G23" s="479">
        <f>SUM(B23:F23)</f>
        <v>278</v>
      </c>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row>
    <row r="24" spans="1:38" s="22" customFormat="1" ht="15.75" customHeight="1" thickBot="1">
      <c r="A24" s="63" t="s">
        <v>277</v>
      </c>
      <c r="B24" s="480">
        <f>SUM(B21:B23)</f>
        <v>0</v>
      </c>
      <c r="C24" s="480">
        <f>SUM(C21:C23)+1</f>
        <v>343249.24</v>
      </c>
      <c r="D24" s="480">
        <f>SUM(D21:D23)</f>
        <v>103711.5</v>
      </c>
      <c r="E24" s="480">
        <f>SUM(E21:E23)</f>
        <v>19129.739999999998</v>
      </c>
      <c r="F24" s="480">
        <f>SUM(F21:F23)-1</f>
        <v>8746.74</v>
      </c>
      <c r="G24" s="481">
        <f>SUM(B24:F24)</f>
        <v>474837.22</v>
      </c>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row>
    <row r="25" spans="2:38" s="22" customFormat="1" ht="15.75" customHeight="1" thickTop="1">
      <c r="B25" s="405"/>
      <c r="C25" s="405"/>
      <c r="D25" s="479"/>
      <c r="E25" s="479"/>
      <c r="F25" s="479"/>
      <c r="G25" s="479"/>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row>
    <row r="26" spans="1:38" s="22" customFormat="1" ht="45" customHeight="1">
      <c r="A26" s="426" t="s">
        <v>126</v>
      </c>
      <c r="B26" s="405"/>
      <c r="C26" s="405"/>
      <c r="D26" s="483"/>
      <c r="E26" s="483"/>
      <c r="F26" s="483"/>
      <c r="G26" s="479"/>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row>
    <row r="27" spans="1:38" s="22" customFormat="1" ht="15.75" customHeight="1">
      <c r="A27" s="22" t="s">
        <v>274</v>
      </c>
      <c r="B27" s="479">
        <f>B9+B15-B21</f>
        <v>516852.7</v>
      </c>
      <c r="C27" s="479">
        <f aca="true" t="shared" si="1" ref="B27:C29">C9+C15-C21</f>
        <v>646206.48</v>
      </c>
      <c r="D27" s="479">
        <f aca="true" t="shared" si="2" ref="D27:F29">D9+D15-D21</f>
        <v>-3149.3499999999913</v>
      </c>
      <c r="E27" s="479">
        <f t="shared" si="2"/>
        <v>5951.680000000004</v>
      </c>
      <c r="F27" s="479">
        <f t="shared" si="2"/>
        <v>20918.79</v>
      </c>
      <c r="G27" s="479">
        <f>SUM(B27:F27)</f>
        <v>1186780.2999999998</v>
      </c>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row>
    <row r="28" spans="1:38" s="22" customFormat="1" ht="15.75" customHeight="1">
      <c r="A28" s="23" t="s">
        <v>275</v>
      </c>
      <c r="B28" s="479">
        <f t="shared" si="1"/>
        <v>278494.48</v>
      </c>
      <c r="C28" s="479">
        <f>C10+C16-C22</f>
        <v>310635.16000000003</v>
      </c>
      <c r="D28" s="479">
        <f t="shared" si="2"/>
        <v>26044.719999999994</v>
      </c>
      <c r="E28" s="479">
        <f t="shared" si="2"/>
        <v>4694.22</v>
      </c>
      <c r="F28" s="479">
        <f t="shared" si="2"/>
        <v>1950.3699999999997</v>
      </c>
      <c r="G28" s="479">
        <f>SUM(B28:F28)</f>
        <v>621818.95</v>
      </c>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row>
    <row r="29" spans="1:38" s="22" customFormat="1" ht="15.75" customHeight="1">
      <c r="A29" s="23" t="s">
        <v>276</v>
      </c>
      <c r="B29" s="479">
        <f t="shared" si="1"/>
        <v>2976.9300000000003</v>
      </c>
      <c r="C29" s="479">
        <f t="shared" si="1"/>
        <v>1572.9</v>
      </c>
      <c r="D29" s="479">
        <f t="shared" si="2"/>
        <v>0</v>
      </c>
      <c r="E29" s="479">
        <f t="shared" si="2"/>
        <v>0</v>
      </c>
      <c r="F29" s="479">
        <f t="shared" si="2"/>
        <v>0</v>
      </c>
      <c r="G29" s="479">
        <f>SUM(B29:F29)</f>
        <v>4549.83</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row>
    <row r="30" spans="1:38" ht="15.75" customHeight="1" thickBot="1">
      <c r="A30" s="37" t="s">
        <v>277</v>
      </c>
      <c r="B30" s="485">
        <f>SUM(B27:B29)</f>
        <v>798324.11</v>
      </c>
      <c r="C30" s="485">
        <f>SUM(C27:C29)-1</f>
        <v>958413.54</v>
      </c>
      <c r="D30" s="485">
        <f>SUM(D27:D29)-1</f>
        <v>22894.370000000003</v>
      </c>
      <c r="E30" s="485">
        <f>SUM(E27:E29)</f>
        <v>10645.900000000005</v>
      </c>
      <c r="F30" s="485">
        <f>SUM(F27:F29)</f>
        <v>22869.16</v>
      </c>
      <c r="G30" s="485">
        <f>SUM(B30:F30)+2</f>
        <v>1813149.0799999998</v>
      </c>
      <c r="H30" s="61"/>
      <c r="I30" s="101"/>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row>
    <row r="31" spans="2:39" ht="15.75" customHeight="1" thickTop="1">
      <c r="B31" s="462"/>
      <c r="C31" s="462"/>
      <c r="F31" s="461"/>
      <c r="G31" s="461"/>
      <c r="H31" s="102"/>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row>
    <row r="32" spans="3:39" ht="15.75" customHeight="1">
      <c r="C32" s="462"/>
      <c r="F32" s="461"/>
      <c r="G32" s="461"/>
      <c r="H32" s="64"/>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row>
    <row r="33" spans="3:39" ht="15.75" customHeight="1">
      <c r="C33" s="462"/>
      <c r="F33" s="461"/>
      <c r="G33" s="461"/>
      <c r="H33" s="64"/>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row>
    <row r="34" spans="3:39" ht="15.75" customHeight="1">
      <c r="C34" s="462"/>
      <c r="F34" s="461"/>
      <c r="G34" s="461"/>
      <c r="H34" s="64"/>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row>
    <row r="35" spans="3:39" ht="15.75" customHeight="1">
      <c r="C35" s="462"/>
      <c r="F35" s="461"/>
      <c r="G35" s="461"/>
      <c r="H35" s="64"/>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row>
    <row r="36" spans="3:39" ht="15.75" customHeight="1">
      <c r="C36" s="462"/>
      <c r="F36" s="461"/>
      <c r="G36" s="461"/>
      <c r="H36" s="64"/>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row>
    <row r="37" spans="3:39" ht="14.25">
      <c r="C37" s="462"/>
      <c r="F37" s="461"/>
      <c r="G37" s="461"/>
      <c r="H37" s="64"/>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row>
    <row r="38" spans="3:39" ht="14.25">
      <c r="C38" s="462"/>
      <c r="F38" s="461"/>
      <c r="G38" s="461"/>
      <c r="H38" s="64"/>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row>
    <row r="39" spans="6:39" ht="15.75">
      <c r="F39" s="461"/>
      <c r="G39" s="461"/>
      <c r="H39" s="64"/>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row>
    <row r="40" spans="6:39" ht="15.75">
      <c r="F40" s="461"/>
      <c r="G40" s="461"/>
      <c r="H40" s="64"/>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row>
    <row r="41" spans="6:39" ht="15.75">
      <c r="F41" s="461"/>
      <c r="G41" s="461"/>
      <c r="H41" s="64"/>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row>
    <row r="42" spans="6:39" ht="15.75">
      <c r="F42" s="461"/>
      <c r="G42" s="461"/>
      <c r="H42" s="64"/>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row>
    <row r="43" spans="6:39" ht="15.75">
      <c r="F43" s="461"/>
      <c r="G43" s="461"/>
      <c r="H43" s="64"/>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row>
    <row r="44" spans="6:39" ht="15.75">
      <c r="F44" s="461"/>
      <c r="G44" s="461"/>
      <c r="H44" s="64"/>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row>
    <row r="45" spans="6:39" ht="15.75">
      <c r="F45" s="461"/>
      <c r="G45" s="461"/>
      <c r="H45" s="64"/>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row>
    <row r="46" spans="6:39" ht="15.75">
      <c r="F46" s="461"/>
      <c r="G46" s="461"/>
      <c r="H46" s="64"/>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row>
    <row r="47" spans="6:39" ht="15.75">
      <c r="F47" s="461"/>
      <c r="G47" s="461"/>
      <c r="H47" s="64"/>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row>
    <row r="48" spans="6:39" ht="15.75">
      <c r="F48" s="461"/>
      <c r="G48" s="461"/>
      <c r="H48" s="64"/>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row>
    <row r="49" spans="6:39" ht="15.75">
      <c r="F49" s="461"/>
      <c r="G49" s="461"/>
      <c r="H49" s="64"/>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row>
    <row r="50" spans="6:39" ht="15.75">
      <c r="F50" s="461"/>
      <c r="G50" s="461"/>
      <c r="H50" s="64"/>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row>
    <row r="51" spans="6:39" ht="15.75">
      <c r="F51" s="461"/>
      <c r="G51" s="461"/>
      <c r="H51" s="64"/>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row>
    <row r="52" spans="6:39" ht="15.75">
      <c r="F52" s="461"/>
      <c r="G52" s="461"/>
      <c r="H52" s="64"/>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row>
    <row r="53" spans="6:39" ht="15.75">
      <c r="F53" s="461"/>
      <c r="G53" s="461"/>
      <c r="H53" s="64"/>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row>
    <row r="54" spans="6:39" ht="15.75">
      <c r="F54" s="461"/>
      <c r="G54" s="461"/>
      <c r="H54" s="64"/>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row>
    <row r="55" spans="6:39" ht="15.75">
      <c r="F55" s="461"/>
      <c r="G55" s="461"/>
      <c r="H55" s="64"/>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row>
    <row r="56" spans="6:39" ht="15.75">
      <c r="F56" s="461"/>
      <c r="G56" s="461"/>
      <c r="H56" s="64"/>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row>
    <row r="57" spans="6:39" ht="15.75">
      <c r="F57" s="461"/>
      <c r="G57" s="461"/>
      <c r="H57" s="64"/>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row>
    <row r="58" spans="6:39" ht="15.75">
      <c r="F58" s="461"/>
      <c r="G58" s="461"/>
      <c r="H58" s="64"/>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row>
    <row r="59" spans="6:39" ht="15.75">
      <c r="F59" s="461"/>
      <c r="G59" s="461"/>
      <c r="H59" s="64"/>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row>
    <row r="60" spans="6:39" ht="15.75">
      <c r="F60" s="461"/>
      <c r="G60" s="461"/>
      <c r="H60" s="64"/>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row>
    <row r="61" spans="6:39" ht="15.75">
      <c r="F61" s="461"/>
      <c r="G61" s="461"/>
      <c r="H61" s="64"/>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row>
    <row r="62" spans="6:39" ht="15.75">
      <c r="F62" s="461"/>
      <c r="G62" s="461"/>
      <c r="H62" s="64"/>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row>
    <row r="63" spans="6:39" ht="15.75">
      <c r="F63" s="461"/>
      <c r="G63" s="461"/>
      <c r="H63" s="64"/>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row>
    <row r="64" spans="6:39" ht="15.75">
      <c r="F64" s="461"/>
      <c r="G64" s="461"/>
      <c r="H64" s="64"/>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row>
    <row r="65" spans="6:39" ht="15.75">
      <c r="F65" s="461"/>
      <c r="G65" s="461"/>
      <c r="H65" s="64"/>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row>
    <row r="66" spans="6:39" ht="15.75">
      <c r="F66" s="461"/>
      <c r="G66" s="461"/>
      <c r="H66" s="64"/>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row>
    <row r="67" spans="6:39" ht="15.75">
      <c r="F67" s="461"/>
      <c r="G67" s="461"/>
      <c r="H67" s="64"/>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row>
    <row r="68" spans="6:39" ht="15.75">
      <c r="F68" s="461"/>
      <c r="G68" s="461"/>
      <c r="H68" s="64"/>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row>
    <row r="69" spans="6:39" ht="15.75">
      <c r="F69" s="461"/>
      <c r="G69" s="461"/>
      <c r="H69" s="64"/>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row>
    <row r="70" spans="6:39" ht="15.75">
      <c r="F70" s="461"/>
      <c r="G70" s="461"/>
      <c r="H70" s="64"/>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row>
    <row r="71" spans="6:39" ht="15.75">
      <c r="F71" s="461"/>
      <c r="G71" s="461"/>
      <c r="H71" s="64"/>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row>
    <row r="72" spans="6:39" ht="15.75">
      <c r="F72" s="461"/>
      <c r="G72" s="461"/>
      <c r="H72" s="64"/>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row>
    <row r="73" spans="6:39" ht="15.75">
      <c r="F73" s="461"/>
      <c r="G73" s="461"/>
      <c r="H73" s="64"/>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row>
    <row r="74" spans="6:39" ht="15.75">
      <c r="F74" s="461"/>
      <c r="G74" s="461"/>
      <c r="H74" s="64"/>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row>
    <row r="75" spans="6:39" ht="15.75">
      <c r="F75" s="461"/>
      <c r="G75" s="461"/>
      <c r="H75" s="64"/>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row>
    <row r="76" spans="6:39" ht="15.75">
      <c r="F76" s="461"/>
      <c r="G76" s="461"/>
      <c r="H76" s="64"/>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row>
    <row r="77" spans="6:39" ht="15.75">
      <c r="F77" s="461"/>
      <c r="G77" s="461"/>
      <c r="H77" s="64"/>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row>
    <row r="78" spans="6:39" ht="15.75">
      <c r="F78" s="461"/>
      <c r="G78" s="461"/>
      <c r="H78" s="64"/>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row>
    <row r="79" spans="6:39" ht="15.75">
      <c r="F79" s="461"/>
      <c r="G79" s="461"/>
      <c r="H79" s="64"/>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row>
  </sheetData>
  <printOptions horizontalCentered="1"/>
  <pageMargins left="0.5" right="0.5" top="0.5" bottom="0.5" header="0.5" footer="0"/>
  <pageSetup horizontalDpi="600" verticalDpi="600" orientation="landscape" scale="80" r:id="rId1"/>
  <headerFooter alignWithMargins="0">
    <oddFooter>&amp;CPage 12
</oddFooter>
  </headerFooter>
</worksheet>
</file>

<file path=xl/worksheets/sheet15.xml><?xml version="1.0" encoding="utf-8"?>
<worksheet xmlns="http://schemas.openxmlformats.org/spreadsheetml/2006/main" xmlns:r="http://schemas.openxmlformats.org/officeDocument/2006/relationships">
  <dimension ref="A2:J40"/>
  <sheetViews>
    <sheetView zoomScale="75" zoomScaleNormal="75" workbookViewId="0" topLeftCell="A14">
      <selection activeCell="B18" sqref="B18"/>
    </sheetView>
  </sheetViews>
  <sheetFormatPr defaultColWidth="9.140625" defaultRowHeight="19.5" customHeight="1"/>
  <cols>
    <col min="1" max="1" width="37.140625" style="1" customWidth="1"/>
    <col min="2" max="2" width="19.7109375" style="1" customWidth="1"/>
    <col min="3" max="3" width="2.7109375" style="1" customWidth="1"/>
    <col min="4" max="4" width="18.421875" style="1" customWidth="1"/>
    <col min="5" max="5" width="3.140625" style="1" customWidth="1"/>
    <col min="6" max="6" width="10.421875" style="1" customWidth="1"/>
    <col min="7" max="7" width="3.7109375" style="1" customWidth="1"/>
    <col min="8" max="8" width="16.00390625" style="1" customWidth="1"/>
    <col min="9" max="9" width="2.28125" style="1" customWidth="1"/>
    <col min="10" max="10" width="15.7109375" style="1" customWidth="1"/>
    <col min="11" max="11" width="3.00390625" style="1" customWidth="1"/>
    <col min="12" max="16384" width="9.140625" style="1" customWidth="1"/>
  </cols>
  <sheetData>
    <row r="2" spans="1:10" ht="19.5" customHeight="1">
      <c r="A2" s="532" t="s">
        <v>41</v>
      </c>
      <c r="B2" s="532"/>
      <c r="C2" s="532"/>
      <c r="D2" s="532"/>
      <c r="E2" s="532"/>
      <c r="F2" s="532"/>
      <c r="G2" s="532"/>
      <c r="H2" s="532"/>
      <c r="I2" s="532"/>
      <c r="J2" s="532"/>
    </row>
    <row r="3" spans="1:7" ht="19.5" customHeight="1">
      <c r="A3" s="95"/>
      <c r="B3" s="96"/>
      <c r="C3" s="96"/>
      <c r="E3" s="96"/>
      <c r="F3" s="96"/>
      <c r="G3" s="96"/>
    </row>
    <row r="4" spans="1:10" ht="19.5" customHeight="1">
      <c r="A4" s="533" t="s">
        <v>42</v>
      </c>
      <c r="B4" s="533"/>
      <c r="C4" s="533"/>
      <c r="D4" s="533"/>
      <c r="E4" s="533"/>
      <c r="F4" s="533"/>
      <c r="G4" s="533"/>
      <c r="H4" s="533"/>
      <c r="I4" s="533"/>
      <c r="J4" s="533"/>
    </row>
    <row r="5" ht="19.5" customHeight="1">
      <c r="B5" s="3"/>
    </row>
    <row r="6" spans="2:10" ht="19.5" customHeight="1">
      <c r="B6" s="534" t="s">
        <v>14</v>
      </c>
      <c r="C6" s="534"/>
      <c r="D6" s="534"/>
      <c r="E6" s="2"/>
      <c r="F6" s="2"/>
      <c r="G6" s="2"/>
      <c r="H6" s="83" t="s">
        <v>15</v>
      </c>
      <c r="I6" s="83"/>
      <c r="J6" s="82"/>
    </row>
    <row r="7" spans="2:10" ht="19.5" customHeight="1" thickBot="1">
      <c r="B7" s="535" t="s">
        <v>43</v>
      </c>
      <c r="C7" s="535"/>
      <c r="D7" s="535"/>
      <c r="E7" s="100"/>
      <c r="F7" s="100"/>
      <c r="G7" s="100"/>
      <c r="H7" s="535" t="s">
        <v>43</v>
      </c>
      <c r="I7" s="535"/>
      <c r="J7" s="535"/>
    </row>
    <row r="8" spans="2:10" ht="19.5" customHeight="1" thickBot="1">
      <c r="B8" s="97">
        <v>2002</v>
      </c>
      <c r="C8" s="81"/>
      <c r="D8" s="97">
        <v>2001</v>
      </c>
      <c r="E8" s="81"/>
      <c r="F8" s="227" t="s">
        <v>159</v>
      </c>
      <c r="G8" s="81"/>
      <c r="H8" s="97">
        <v>2002</v>
      </c>
      <c r="I8" s="81"/>
      <c r="J8" s="97">
        <v>2001</v>
      </c>
    </row>
    <row r="9" spans="1:9" ht="19.5" customHeight="1">
      <c r="A9" s="6"/>
      <c r="B9" s="63"/>
      <c r="C9" s="63"/>
      <c r="D9" s="6"/>
      <c r="E9" s="73"/>
      <c r="F9" s="73"/>
      <c r="G9" s="73"/>
      <c r="I9" s="30"/>
    </row>
    <row r="10" spans="1:10" ht="19.5" customHeight="1">
      <c r="A10" s="37" t="s">
        <v>44</v>
      </c>
      <c r="B10" s="74">
        <f>-'[1]TB06-30-03(Final)'!E297</f>
        <v>5491248</v>
      </c>
      <c r="C10" s="74"/>
      <c r="D10" s="74">
        <f>+'[2]Highlights (pg 1)'!$B$10</f>
        <v>4280821</v>
      </c>
      <c r="E10" s="74"/>
      <c r="F10" s="229">
        <f>(+B10-D10)/D10</f>
        <v>0.2827558078228452</v>
      </c>
      <c r="G10" s="74"/>
      <c r="H10" s="74">
        <f>-'[1]TB06-30-03(Final)'!G297</f>
        <v>10221860</v>
      </c>
      <c r="I10" s="74"/>
      <c r="J10" s="74">
        <f>+'[2]Highlights (pg 1)'!$F$10</f>
        <v>16190670</v>
      </c>
    </row>
    <row r="11" spans="1:10" ht="19.5" customHeight="1">
      <c r="A11" s="37"/>
      <c r="B11" s="63"/>
      <c r="C11" s="63"/>
      <c r="D11" s="63"/>
      <c r="E11" s="63"/>
      <c r="F11" s="228"/>
      <c r="G11" s="63"/>
      <c r="H11" s="63"/>
      <c r="I11" s="6"/>
      <c r="J11" s="63"/>
    </row>
    <row r="12" spans="1:10" ht="19.5" customHeight="1">
      <c r="A12" s="37" t="s">
        <v>45</v>
      </c>
      <c r="B12" s="63">
        <f>-'[1]TB06-30-03(Final)'!E315</f>
        <v>4659146</v>
      </c>
      <c r="C12" s="63"/>
      <c r="D12" s="63">
        <f>+'[2]Highlights (pg 1)'!$B$12</f>
        <v>4133399</v>
      </c>
      <c r="E12" s="63"/>
      <c r="F12" s="229">
        <f>(+B12-D12)/D12</f>
        <v>0.12719483408207144</v>
      </c>
      <c r="G12" s="63"/>
      <c r="H12" s="63">
        <f>-'[1]TB06-30-03(Final)'!G315</f>
        <v>9075299</v>
      </c>
      <c r="I12" s="63"/>
      <c r="J12" s="63">
        <f>+'[2]Highlights (pg 1)'!$F$12</f>
        <v>16708714</v>
      </c>
    </row>
    <row r="13" spans="1:10" ht="19.5" customHeight="1">
      <c r="A13" s="37"/>
      <c r="B13" s="63"/>
      <c r="C13" s="63"/>
      <c r="D13" s="63"/>
      <c r="E13" s="63"/>
      <c r="F13" s="228"/>
      <c r="G13" s="63"/>
      <c r="H13" s="63"/>
      <c r="I13" s="6"/>
      <c r="J13" s="63"/>
    </row>
    <row r="14" spans="1:10" ht="19.5" customHeight="1">
      <c r="A14" s="37" t="s">
        <v>46</v>
      </c>
      <c r="B14" s="63">
        <f>+'[1]TB06-30-03(Final)'!E431</f>
        <v>2160529.7000000007</v>
      </c>
      <c r="C14" s="63"/>
      <c r="D14" s="63">
        <f>+'[2]Highlights (pg 1)'!$B$14</f>
        <v>2779701.7999999993</v>
      </c>
      <c r="E14" s="63"/>
      <c r="F14" s="229">
        <f>(+B14-D14)/D14</f>
        <v>-0.22274767027168124</v>
      </c>
      <c r="G14" s="63"/>
      <c r="H14" s="63">
        <f>+'[1]TB06-30-03(Final)'!G431</f>
        <v>7074225.810000002</v>
      </c>
      <c r="I14" s="63"/>
      <c r="J14" s="63">
        <f>+'[2]Highlights (pg 1)'!$F$14</f>
        <v>14011900.985</v>
      </c>
    </row>
    <row r="15" spans="1:10" ht="19.5" customHeight="1">
      <c r="A15" s="37"/>
      <c r="B15" s="63"/>
      <c r="C15" s="63"/>
      <c r="D15" s="63"/>
      <c r="E15" s="63"/>
      <c r="F15" s="228"/>
      <c r="G15" s="63"/>
      <c r="H15" s="63"/>
      <c r="I15" s="6"/>
      <c r="J15" s="63"/>
    </row>
    <row r="16" spans="1:10" ht="19.5" customHeight="1">
      <c r="A16" s="37" t="s">
        <v>47</v>
      </c>
      <c r="B16" s="63">
        <f>+'[1]TB06-30-03(Final)'!E518</f>
        <v>216153.58000000007</v>
      </c>
      <c r="C16" s="63"/>
      <c r="D16" s="63">
        <f>+'[2]Highlights (pg 1)'!$B$16</f>
        <v>359851.97759499995</v>
      </c>
      <c r="E16" s="63"/>
      <c r="F16" s="229">
        <f>(+B16-D16)/D16</f>
        <v>-0.399326407917444</v>
      </c>
      <c r="G16" s="63"/>
      <c r="H16" s="63">
        <f>+'[1]TB06-30-03(Final)'!G518</f>
        <v>811832.5899999997</v>
      </c>
      <c r="I16" s="63"/>
      <c r="J16" s="63">
        <f>+'[2]Highlights (pg 1)'!$F$16</f>
        <v>1458256.25543</v>
      </c>
    </row>
    <row r="17" spans="1:10" ht="19.5" customHeight="1">
      <c r="A17" s="37"/>
      <c r="B17" s="63"/>
      <c r="C17" s="63"/>
      <c r="D17" s="63"/>
      <c r="E17" s="63"/>
      <c r="F17" s="228"/>
      <c r="G17" s="63"/>
      <c r="H17" s="63"/>
      <c r="I17" s="6"/>
      <c r="J17" s="63"/>
    </row>
    <row r="18" spans="1:10" ht="19.5" customHeight="1">
      <c r="A18" s="37" t="s">
        <v>48</v>
      </c>
      <c r="B18" s="63">
        <f>+'[1]TB06-30-03(Final)'!E581+'[1]TB06-30-03(Final)'!E938</f>
        <v>1597217.000000001</v>
      </c>
      <c r="C18" s="63"/>
      <c r="D18" s="63">
        <f>+'[2]Highlights (pg 1)'!$B$18</f>
        <v>1236377.2000000002</v>
      </c>
      <c r="E18" s="63"/>
      <c r="F18" s="229">
        <f>(+B18-D18)/D18</f>
        <v>0.29185251879442675</v>
      </c>
      <c r="G18" s="63"/>
      <c r="H18" s="63">
        <f>+'[1]TB06-30-03(Final)'!G581+'[1]TB06-30-03(Final)'!G938</f>
        <v>3054308.21</v>
      </c>
      <c r="I18" s="63"/>
      <c r="J18" s="63">
        <f>+'[2]Highlights (pg 1)'!$F$18</f>
        <v>5361056.619999999</v>
      </c>
    </row>
    <row r="19" spans="1:10" ht="19.5" customHeight="1">
      <c r="A19" s="37"/>
      <c r="B19" s="63"/>
      <c r="C19" s="63"/>
      <c r="D19" s="63"/>
      <c r="E19" s="63"/>
      <c r="F19" s="228"/>
      <c r="G19" s="63"/>
      <c r="H19" s="63"/>
      <c r="I19" s="6"/>
      <c r="J19" s="63"/>
    </row>
    <row r="20" spans="1:10" ht="19.5" customHeight="1">
      <c r="A20" s="37" t="s">
        <v>171</v>
      </c>
      <c r="B20" s="63">
        <f>B12-B14-B16-B18</f>
        <v>685245.7199999983</v>
      </c>
      <c r="C20" s="63"/>
      <c r="D20" s="63">
        <f>D12-D14-D16-D18</f>
        <v>-242531.97759499948</v>
      </c>
      <c r="E20" s="63"/>
      <c r="F20" s="229">
        <f>(+B20-D20)/D20</f>
        <v>-3.825382973391987</v>
      </c>
      <c r="G20" s="63"/>
      <c r="H20" s="63">
        <f>H12-H14-H16-H18</f>
        <v>-1865067.6100000022</v>
      </c>
      <c r="I20" s="6"/>
      <c r="J20" s="63">
        <f>J12-J14-J16-J18</f>
        <v>-4122499.8604299985</v>
      </c>
    </row>
    <row r="21" spans="1:10" ht="19.5" customHeight="1">
      <c r="A21" s="37"/>
      <c r="B21" s="63"/>
      <c r="C21" s="63"/>
      <c r="D21" s="63"/>
      <c r="E21" s="63"/>
      <c r="F21" s="228"/>
      <c r="G21" s="63"/>
      <c r="H21" s="63"/>
      <c r="I21" s="6"/>
      <c r="J21" s="63"/>
    </row>
    <row r="22" spans="1:10" ht="19.5" customHeight="1">
      <c r="A22" s="37" t="s">
        <v>49</v>
      </c>
      <c r="B22" s="63">
        <f>-'[1]TB06-30-03(Final)'!E332</f>
        <v>29841.62</v>
      </c>
      <c r="C22" s="63"/>
      <c r="D22" s="74">
        <f>+'[2]Highlights (pg 1)'!$B$22</f>
        <v>51020.619999999995</v>
      </c>
      <c r="E22" s="63"/>
      <c r="F22" s="229">
        <f>(+B22-D22)/D22</f>
        <v>-0.4151066764770792</v>
      </c>
      <c r="G22" s="63"/>
      <c r="H22" s="63">
        <f>-'[1]TB06-30-03(Final)'!G332</f>
        <v>61536.52</v>
      </c>
      <c r="I22" s="63"/>
      <c r="J22" s="63">
        <f>+'[2]Highlights (pg 1)'!$F$22</f>
        <v>406576.29999999993</v>
      </c>
    </row>
    <row r="23" spans="1:10" ht="19.5" customHeight="1">
      <c r="A23" s="37"/>
      <c r="B23" s="63"/>
      <c r="C23" s="63"/>
      <c r="D23" s="63"/>
      <c r="E23" s="63"/>
      <c r="F23" s="228"/>
      <c r="G23" s="63"/>
      <c r="H23" s="63"/>
      <c r="I23" s="6"/>
      <c r="J23" s="63"/>
    </row>
    <row r="24" spans="1:10" ht="19.5" customHeight="1">
      <c r="A24" s="37" t="s">
        <v>140</v>
      </c>
      <c r="B24" s="74">
        <f>B20+B22</f>
        <v>715087.3399999983</v>
      </c>
      <c r="C24" s="74"/>
      <c r="D24" s="74">
        <f>D20+D22-1</f>
        <v>-191512.35759499948</v>
      </c>
      <c r="E24" s="74"/>
      <c r="F24" s="228">
        <f>(+B24-D24)/D24</f>
        <v>-4.733896595394791</v>
      </c>
      <c r="G24" s="74"/>
      <c r="H24" s="74">
        <f>H20+H22</f>
        <v>-1803531.0900000022</v>
      </c>
      <c r="I24" s="6"/>
      <c r="J24" s="74">
        <f>J20+J22</f>
        <v>-3715923.5604299987</v>
      </c>
    </row>
    <row r="25" spans="1:10" ht="19.5" customHeight="1">
      <c r="A25" s="37"/>
      <c r="B25" s="63"/>
      <c r="C25" s="63"/>
      <c r="D25" s="63"/>
      <c r="E25" s="63"/>
      <c r="F25" s="63"/>
      <c r="G25" s="63"/>
      <c r="H25" s="63"/>
      <c r="I25" s="6"/>
      <c r="J25" s="6"/>
    </row>
    <row r="26" spans="1:10" ht="19.5" customHeight="1">
      <c r="A26" s="37"/>
      <c r="B26" s="63"/>
      <c r="C26" s="63"/>
      <c r="D26" s="63"/>
      <c r="E26" s="63"/>
      <c r="F26" s="63"/>
      <c r="G26" s="63"/>
      <c r="H26" s="63"/>
      <c r="I26" s="6"/>
      <c r="J26" s="6"/>
    </row>
    <row r="27" spans="1:10" ht="19.5" customHeight="1">
      <c r="A27" s="37"/>
      <c r="B27" s="63"/>
      <c r="C27" s="63"/>
      <c r="D27" s="63"/>
      <c r="E27" s="63"/>
      <c r="F27" s="63"/>
      <c r="G27" s="63"/>
      <c r="H27" s="63"/>
      <c r="I27" s="6"/>
      <c r="J27" s="6"/>
    </row>
    <row r="28" spans="1:10" ht="19.5" customHeight="1">
      <c r="A28" s="37"/>
      <c r="B28" s="63"/>
      <c r="C28" s="63"/>
      <c r="D28" s="63"/>
      <c r="E28" s="63"/>
      <c r="F28" s="63"/>
      <c r="G28" s="63"/>
      <c r="H28" s="63"/>
      <c r="I28" s="6"/>
      <c r="J28" s="6"/>
    </row>
    <row r="29" spans="1:10" ht="19.5" customHeight="1">
      <c r="A29" s="37" t="s">
        <v>50</v>
      </c>
      <c r="B29" s="75">
        <f>(B14+B16)/B12</f>
        <v>0.5101113551710981</v>
      </c>
      <c r="C29" s="77"/>
      <c r="D29" s="75">
        <f>(D14+D16)/D12</f>
        <v>0.7595573951595284</v>
      </c>
      <c r="E29" s="77"/>
      <c r="F29" s="77"/>
      <c r="G29" s="77"/>
      <c r="H29" s="75">
        <f>(H14+H16)/H12</f>
        <v>0.8689585213666241</v>
      </c>
      <c r="I29" s="75"/>
      <c r="J29" s="75">
        <f>(J14+J16)/J12</f>
        <v>0.9258736034640368</v>
      </c>
    </row>
    <row r="30" spans="1:10" ht="19.5" customHeight="1">
      <c r="A30" s="37"/>
      <c r="B30" s="76"/>
      <c r="C30" s="77"/>
      <c r="D30" s="76"/>
      <c r="E30" s="77"/>
      <c r="F30" s="77"/>
      <c r="G30" s="77"/>
      <c r="H30" s="76"/>
      <c r="I30" s="76"/>
      <c r="J30" s="76"/>
    </row>
    <row r="31" spans="1:10" ht="19.5" customHeight="1">
      <c r="A31" s="37" t="s">
        <v>51</v>
      </c>
      <c r="B31" s="75">
        <f>B18/B10</f>
        <v>0.2908659379434331</v>
      </c>
      <c r="C31" s="77"/>
      <c r="D31" s="75">
        <f>D18/D10</f>
        <v>0.2888177758425312</v>
      </c>
      <c r="E31" s="77"/>
      <c r="F31" s="77"/>
      <c r="G31" s="77"/>
      <c r="H31" s="75">
        <f>H18/H10</f>
        <v>0.29880160851351906</v>
      </c>
      <c r="I31" s="75"/>
      <c r="J31" s="75">
        <f>J18/J10</f>
        <v>0.3311201216503084</v>
      </c>
    </row>
    <row r="32" spans="1:10" ht="19.5" customHeight="1">
      <c r="A32" s="37"/>
      <c r="B32" s="76"/>
      <c r="C32" s="77"/>
      <c r="D32" s="76"/>
      <c r="E32" s="77"/>
      <c r="F32" s="77"/>
      <c r="G32" s="77"/>
      <c r="H32" s="76"/>
      <c r="I32" s="76"/>
      <c r="J32" s="76"/>
    </row>
    <row r="33" spans="1:10" ht="19.5" customHeight="1">
      <c r="A33" s="37" t="s">
        <v>52</v>
      </c>
      <c r="B33" s="98">
        <f>SUM(B29:B32)</f>
        <v>0.8009772931145311</v>
      </c>
      <c r="C33" s="98"/>
      <c r="D33" s="98">
        <f>SUM(D29:D31)</f>
        <v>1.0483751710020597</v>
      </c>
      <c r="E33" s="98"/>
      <c r="F33" s="98"/>
      <c r="G33" s="98"/>
      <c r="H33" s="98">
        <f>SUM(H29:H32)</f>
        <v>1.1677601298801432</v>
      </c>
      <c r="I33" s="98"/>
      <c r="J33" s="98">
        <f>SUM(J29:J31)</f>
        <v>1.2569937251143453</v>
      </c>
    </row>
    <row r="34" spans="1:4" ht="19.5" customHeight="1">
      <c r="A34" s="6"/>
      <c r="B34" s="99"/>
      <c r="C34" s="23"/>
      <c r="D34" s="6"/>
    </row>
    <row r="35" spans="1:4" ht="19.5" customHeight="1">
      <c r="A35" s="6"/>
      <c r="B35" s="99"/>
      <c r="C35" s="23"/>
      <c r="D35" s="6"/>
    </row>
    <row r="36" spans="1:4" ht="19.5" customHeight="1">
      <c r="A36" s="6"/>
      <c r="B36" s="99"/>
      <c r="C36" s="22"/>
      <c r="D36" s="6"/>
    </row>
    <row r="37" spans="1:4" ht="19.5" customHeight="1">
      <c r="A37" s="6"/>
      <c r="B37" s="99"/>
      <c r="C37" s="22"/>
      <c r="D37" s="6"/>
    </row>
    <row r="38" spans="1:4" ht="19.5" customHeight="1">
      <c r="A38" s="6"/>
      <c r="B38" s="99"/>
      <c r="C38" s="22"/>
      <c r="D38" s="6"/>
    </row>
    <row r="39" ht="19.5" customHeight="1">
      <c r="C39" s="36"/>
    </row>
    <row r="40" ht="19.5" customHeight="1">
      <c r="A40" s="78"/>
    </row>
  </sheetData>
  <mergeCells count="5">
    <mergeCell ref="A2:J2"/>
    <mergeCell ref="A4:J4"/>
    <mergeCell ref="B6:D6"/>
    <mergeCell ref="B7:D7"/>
    <mergeCell ref="H7:J7"/>
  </mergeCells>
  <printOptions/>
  <pageMargins left="0.75" right="0.75" top="1" bottom="1" header="0.5" footer="0.5"/>
  <pageSetup orientation="portrait" paperSize="9"/>
  <drawing r:id="rId3"/>
  <legacyDrawing r:id="rId2"/>
</worksheet>
</file>

<file path=xl/worksheets/sheet16.xml><?xml version="1.0" encoding="utf-8"?>
<worksheet xmlns="http://schemas.openxmlformats.org/spreadsheetml/2006/main" xmlns:r="http://schemas.openxmlformats.org/officeDocument/2006/relationships">
  <dimension ref="A2:H40"/>
  <sheetViews>
    <sheetView workbookViewId="0" topLeftCell="A20">
      <selection activeCell="C36" sqref="C36"/>
    </sheetView>
  </sheetViews>
  <sheetFormatPr defaultColWidth="9.140625" defaultRowHeight="19.5" customHeight="1"/>
  <cols>
    <col min="1" max="1" width="37.140625" style="1" customWidth="1"/>
    <col min="2" max="2" width="19.7109375" style="1" customWidth="1"/>
    <col min="3" max="3" width="2.7109375" style="1" customWidth="1"/>
    <col min="4" max="4" width="18.421875" style="1" customWidth="1"/>
    <col min="5" max="5" width="2.140625" style="1" customWidth="1"/>
    <col min="6" max="6" width="16.00390625" style="1" customWidth="1"/>
    <col min="7" max="7" width="2.28125" style="1" customWidth="1"/>
    <col min="8" max="8" width="15.7109375" style="1" customWidth="1"/>
    <col min="9" max="16384" width="9.140625" style="1" customWidth="1"/>
  </cols>
  <sheetData>
    <row r="2" spans="1:8" ht="19.5" customHeight="1">
      <c r="A2" s="532" t="s">
        <v>41</v>
      </c>
      <c r="B2" s="532"/>
      <c r="C2" s="532"/>
      <c r="D2" s="532"/>
      <c r="E2" s="532"/>
      <c r="F2" s="532"/>
      <c r="G2" s="532"/>
      <c r="H2" s="532"/>
    </row>
    <row r="3" spans="1:5" ht="19.5" customHeight="1">
      <c r="A3" s="95"/>
      <c r="B3" s="96"/>
      <c r="C3" s="96"/>
      <c r="E3" s="96"/>
    </row>
    <row r="4" spans="1:8" ht="19.5" customHeight="1">
      <c r="A4" s="533" t="s">
        <v>42</v>
      </c>
      <c r="B4" s="533"/>
      <c r="C4" s="533"/>
      <c r="D4" s="533"/>
      <c r="E4" s="533"/>
      <c r="F4" s="533"/>
      <c r="G4" s="533"/>
      <c r="H4" s="533"/>
    </row>
    <row r="5" ht="19.5" customHeight="1">
      <c r="B5" s="3"/>
    </row>
    <row r="6" spans="2:8" ht="19.5" customHeight="1">
      <c r="B6" s="534" t="s">
        <v>14</v>
      </c>
      <c r="C6" s="534"/>
      <c r="D6" s="534"/>
      <c r="E6" s="2"/>
      <c r="F6" s="83" t="s">
        <v>15</v>
      </c>
      <c r="G6" s="83"/>
      <c r="H6" s="82"/>
    </row>
    <row r="7" spans="2:8" ht="19.5" customHeight="1" thickBot="1">
      <c r="B7" s="535" t="s">
        <v>43</v>
      </c>
      <c r="C7" s="535"/>
      <c r="D7" s="535"/>
      <c r="E7" s="100"/>
      <c r="F7" s="535" t="s">
        <v>43</v>
      </c>
      <c r="G7" s="535"/>
      <c r="H7" s="535"/>
    </row>
    <row r="8" spans="2:8" ht="19.5" customHeight="1" thickBot="1">
      <c r="B8" s="97">
        <v>2002</v>
      </c>
      <c r="C8" s="81"/>
      <c r="D8" s="97">
        <v>2001</v>
      </c>
      <c r="E8" s="81"/>
      <c r="F8" s="97">
        <v>2002</v>
      </c>
      <c r="G8" s="81"/>
      <c r="H8" s="97">
        <v>2001</v>
      </c>
    </row>
    <row r="9" spans="1:7" ht="19.5" customHeight="1">
      <c r="A9" s="6"/>
      <c r="B9" s="63"/>
      <c r="C9" s="63"/>
      <c r="D9" s="6"/>
      <c r="E9" s="73"/>
      <c r="G9" s="30"/>
    </row>
    <row r="10" spans="1:8" ht="19.5" customHeight="1">
      <c r="A10" s="37" t="s">
        <v>44</v>
      </c>
      <c r="B10" s="74">
        <f>-'[1]TB06-30-03(Final)'!E297</f>
        <v>5491248</v>
      </c>
      <c r="C10" s="74"/>
      <c r="D10" s="74">
        <f>+'[2]Highlights (pg 1)'!$B$10</f>
        <v>4280821</v>
      </c>
      <c r="E10" s="74"/>
      <c r="F10" s="74">
        <f>-'[1]TB06-30-03(Final)'!G297</f>
        <v>10221860</v>
      </c>
      <c r="G10" s="74"/>
      <c r="H10" s="74">
        <f>+'[2]Highlights (pg 1)'!$F$10</f>
        <v>16190670</v>
      </c>
    </row>
    <row r="11" spans="1:8" ht="19.5" customHeight="1">
      <c r="A11" s="37"/>
      <c r="B11" s="63"/>
      <c r="C11" s="63"/>
      <c r="D11" s="63"/>
      <c r="E11" s="63"/>
      <c r="F11" s="63"/>
      <c r="G11" s="6"/>
      <c r="H11" s="63"/>
    </row>
    <row r="12" spans="1:8" ht="19.5" customHeight="1">
      <c r="A12" s="37" t="s">
        <v>45</v>
      </c>
      <c r="B12" s="63">
        <f>-'[1]TB06-30-03(Final)'!E315</f>
        <v>4659146</v>
      </c>
      <c r="C12" s="63"/>
      <c r="D12" s="63">
        <f>+'[2]Highlights (pg 1)'!$B$12</f>
        <v>4133399</v>
      </c>
      <c r="E12" s="63"/>
      <c r="F12" s="63">
        <f>-'[1]TB06-30-03(Final)'!G315</f>
        <v>9075299</v>
      </c>
      <c r="G12" s="63"/>
      <c r="H12" s="63">
        <f>+'[2]Highlights (pg 1)'!$F$12</f>
        <v>16708714</v>
      </c>
    </row>
    <row r="13" spans="1:8" ht="19.5" customHeight="1">
      <c r="A13" s="37"/>
      <c r="B13" s="63"/>
      <c r="C13" s="63"/>
      <c r="D13" s="63"/>
      <c r="E13" s="63"/>
      <c r="F13" s="63"/>
      <c r="G13" s="6"/>
      <c r="H13" s="63"/>
    </row>
    <row r="14" spans="1:8" ht="19.5" customHeight="1">
      <c r="A14" s="37" t="s">
        <v>46</v>
      </c>
      <c r="B14" s="63">
        <f>+'[1]TB06-30-03(Final)'!E431</f>
        <v>2160529.7000000007</v>
      </c>
      <c r="C14" s="63"/>
      <c r="D14" s="63">
        <f>+'[2]Highlights (pg 1)'!$B$14</f>
        <v>2779701.7999999993</v>
      </c>
      <c r="E14" s="63"/>
      <c r="F14" s="63">
        <f>+'[1]TB06-30-03(Final)'!G431</f>
        <v>7074225.810000002</v>
      </c>
      <c r="G14" s="63"/>
      <c r="H14" s="63">
        <f>+'[2]Highlights (pg 1)'!$F$14</f>
        <v>14011900.985</v>
      </c>
    </row>
    <row r="15" spans="1:8" ht="19.5" customHeight="1">
      <c r="A15" s="37"/>
      <c r="B15" s="63"/>
      <c r="C15" s="63"/>
      <c r="D15" s="63"/>
      <c r="E15" s="63"/>
      <c r="F15" s="63"/>
      <c r="G15" s="6"/>
      <c r="H15" s="63"/>
    </row>
    <row r="16" spans="1:8" ht="19.5" customHeight="1">
      <c r="A16" s="37" t="s">
        <v>47</v>
      </c>
      <c r="B16" s="63">
        <f>+'[1]TB06-30-03(Final)'!E518</f>
        <v>216153.58000000007</v>
      </c>
      <c r="C16" s="63"/>
      <c r="D16" s="63">
        <f>+'[2]Highlights (pg 1)'!$B$16</f>
        <v>359851.97759499995</v>
      </c>
      <c r="E16" s="63"/>
      <c r="F16" s="63">
        <f>+'[1]TB06-30-03(Final)'!G518</f>
        <v>811832.5899999997</v>
      </c>
      <c r="G16" s="63"/>
      <c r="H16" s="63">
        <f>+'[2]Highlights (pg 1)'!$F$16</f>
        <v>1458256.25543</v>
      </c>
    </row>
    <row r="17" spans="1:8" ht="19.5" customHeight="1">
      <c r="A17" s="37"/>
      <c r="B17" s="63"/>
      <c r="C17" s="63"/>
      <c r="D17" s="63"/>
      <c r="E17" s="63"/>
      <c r="F17" s="63"/>
      <c r="G17" s="6"/>
      <c r="H17" s="63"/>
    </row>
    <row r="18" spans="1:8" ht="19.5" customHeight="1">
      <c r="A18" s="37" t="s">
        <v>48</v>
      </c>
      <c r="B18" s="63">
        <f>+'[1]TB06-30-03(Final)'!E581+'[1]TB06-30-03(Final)'!E938</f>
        <v>1597217.000000001</v>
      </c>
      <c r="C18" s="63"/>
      <c r="D18" s="63">
        <f>+'[2]Highlights (pg 1)'!$B$18</f>
        <v>1236377.2000000002</v>
      </c>
      <c r="E18" s="63"/>
      <c r="F18" s="63">
        <f>+'[1]TB06-30-03(Final)'!G581+'[1]TB06-30-03(Final)'!G938</f>
        <v>3054308.21</v>
      </c>
      <c r="G18" s="63"/>
      <c r="H18" s="63">
        <f>+'[2]Highlights (pg 1)'!$F$18</f>
        <v>5361056.619999999</v>
      </c>
    </row>
    <row r="19" spans="1:8" ht="19.5" customHeight="1">
      <c r="A19" s="37"/>
      <c r="B19" s="63"/>
      <c r="C19" s="63"/>
      <c r="D19" s="63"/>
      <c r="E19" s="63"/>
      <c r="F19" s="63"/>
      <c r="G19" s="6"/>
      <c r="H19" s="63"/>
    </row>
    <row r="20" spans="1:8" ht="19.5" customHeight="1">
      <c r="A20" s="37" t="s">
        <v>171</v>
      </c>
      <c r="B20" s="63">
        <f>B12-B14-B16-B18</f>
        <v>685245.7199999983</v>
      </c>
      <c r="C20" s="63"/>
      <c r="D20" s="63">
        <f>D12-D14-D16-D18</f>
        <v>-242531.97759499948</v>
      </c>
      <c r="E20" s="63"/>
      <c r="F20" s="63">
        <f>F12-F14-F16-F18</f>
        <v>-1865067.6100000022</v>
      </c>
      <c r="G20" s="6"/>
      <c r="H20" s="63">
        <f>H12-H14-H16-H18</f>
        <v>-4122499.8604299985</v>
      </c>
    </row>
    <row r="21" spans="1:8" ht="19.5" customHeight="1">
      <c r="A21" s="37"/>
      <c r="B21" s="63"/>
      <c r="C21" s="63"/>
      <c r="D21" s="63"/>
      <c r="E21" s="63"/>
      <c r="F21" s="63"/>
      <c r="G21" s="6"/>
      <c r="H21" s="63"/>
    </row>
    <row r="22" spans="1:8" ht="19.5" customHeight="1">
      <c r="A22" s="37" t="s">
        <v>49</v>
      </c>
      <c r="B22" s="63">
        <f>-'[1]TB06-30-03(Final)'!E332</f>
        <v>29841.62</v>
      </c>
      <c r="C22" s="63"/>
      <c r="D22" s="74">
        <f>+'[2]Highlights (pg 1)'!$B$22</f>
        <v>51020.619999999995</v>
      </c>
      <c r="E22" s="63"/>
      <c r="F22" s="63">
        <f>-'[1]TB06-30-03(Final)'!G332</f>
        <v>61536.52</v>
      </c>
      <c r="G22" s="63"/>
      <c r="H22" s="63">
        <f>+'[2]Highlights (pg 1)'!$F$22</f>
        <v>406576.29999999993</v>
      </c>
    </row>
    <row r="23" spans="1:8" ht="19.5" customHeight="1">
      <c r="A23" s="37"/>
      <c r="B23" s="63"/>
      <c r="C23" s="63"/>
      <c r="D23" s="63"/>
      <c r="E23" s="63"/>
      <c r="F23" s="63"/>
      <c r="G23" s="6"/>
      <c r="H23" s="63"/>
    </row>
    <row r="24" spans="1:8" ht="19.5" customHeight="1">
      <c r="A24" s="37" t="s">
        <v>140</v>
      </c>
      <c r="B24" s="74">
        <f>B20+B22</f>
        <v>715087.3399999983</v>
      </c>
      <c r="C24" s="74"/>
      <c r="D24" s="74">
        <f>D20+D22-1</f>
        <v>-191512.35759499948</v>
      </c>
      <c r="E24" s="74"/>
      <c r="F24" s="74">
        <f>F20+F22</f>
        <v>-1803531.0900000022</v>
      </c>
      <c r="G24" s="6"/>
      <c r="H24" s="74">
        <f>H20+H22</f>
        <v>-3715923.5604299987</v>
      </c>
    </row>
    <row r="25" spans="1:8" ht="19.5" customHeight="1">
      <c r="A25" s="37"/>
      <c r="B25" s="63"/>
      <c r="C25" s="63"/>
      <c r="D25" s="63"/>
      <c r="E25" s="63"/>
      <c r="F25" s="63"/>
      <c r="G25" s="6"/>
      <c r="H25" s="6"/>
    </row>
    <row r="26" spans="1:8" ht="19.5" customHeight="1">
      <c r="A26" s="37"/>
      <c r="B26" s="63"/>
      <c r="C26" s="63"/>
      <c r="D26" s="63"/>
      <c r="E26" s="63"/>
      <c r="F26" s="63"/>
      <c r="G26" s="6"/>
      <c r="H26" s="6"/>
    </row>
    <row r="27" spans="1:8" ht="19.5" customHeight="1">
      <c r="A27" s="37"/>
      <c r="B27" s="63"/>
      <c r="C27" s="63"/>
      <c r="D27" s="63"/>
      <c r="E27" s="63"/>
      <c r="F27" s="63"/>
      <c r="G27" s="6"/>
      <c r="H27" s="6"/>
    </row>
    <row r="28" spans="1:8" ht="19.5" customHeight="1">
      <c r="A28" s="37"/>
      <c r="B28" s="63"/>
      <c r="C28" s="63"/>
      <c r="D28" s="63"/>
      <c r="E28" s="63"/>
      <c r="F28" s="63"/>
      <c r="G28" s="6"/>
      <c r="H28" s="6"/>
    </row>
    <row r="29" spans="1:8" ht="19.5" customHeight="1">
      <c r="A29" s="37" t="s">
        <v>50</v>
      </c>
      <c r="B29" s="75">
        <f>(B14+B16)/B12</f>
        <v>0.5101113551710981</v>
      </c>
      <c r="C29" s="77"/>
      <c r="D29" s="75">
        <f>(D14+D16)/D12</f>
        <v>0.7595573951595284</v>
      </c>
      <c r="E29" s="77"/>
      <c r="F29" s="75">
        <f>(F14+F16)/F12</f>
        <v>0.8689585213666241</v>
      </c>
      <c r="G29" s="75"/>
      <c r="H29" s="75">
        <f>(H14+H16)/H12</f>
        <v>0.9258736034640368</v>
      </c>
    </row>
    <row r="30" spans="1:8" ht="19.5" customHeight="1">
      <c r="A30" s="37"/>
      <c r="B30" s="76"/>
      <c r="C30" s="77"/>
      <c r="D30" s="76"/>
      <c r="E30" s="77"/>
      <c r="F30" s="76"/>
      <c r="G30" s="76"/>
      <c r="H30" s="76"/>
    </row>
    <row r="31" spans="1:8" ht="19.5" customHeight="1">
      <c r="A31" s="37" t="s">
        <v>51</v>
      </c>
      <c r="B31" s="75">
        <f>B18/B10</f>
        <v>0.2908659379434331</v>
      </c>
      <c r="C31" s="77"/>
      <c r="D31" s="75">
        <f>D18/D10</f>
        <v>0.2888177758425312</v>
      </c>
      <c r="E31" s="77"/>
      <c r="F31" s="75">
        <f>F18/F10</f>
        <v>0.29880160851351906</v>
      </c>
      <c r="G31" s="75"/>
      <c r="H31" s="75">
        <f>H18/H10</f>
        <v>0.3311201216503084</v>
      </c>
    </row>
    <row r="32" spans="1:8" ht="19.5" customHeight="1">
      <c r="A32" s="37"/>
      <c r="B32" s="76"/>
      <c r="C32" s="77"/>
      <c r="D32" s="76"/>
      <c r="E32" s="77"/>
      <c r="F32" s="76"/>
      <c r="G32" s="76"/>
      <c r="H32" s="76"/>
    </row>
    <row r="33" spans="1:8" ht="19.5" customHeight="1">
      <c r="A33" s="37" t="s">
        <v>52</v>
      </c>
      <c r="B33" s="98">
        <f>SUM(B29:B32)</f>
        <v>0.8009772931145311</v>
      </c>
      <c r="C33" s="98"/>
      <c r="D33" s="98">
        <f>SUM(D29:D31)</f>
        <v>1.0483751710020597</v>
      </c>
      <c r="E33" s="98"/>
      <c r="F33" s="98">
        <f>SUM(F29:F32)</f>
        <v>1.1677601298801432</v>
      </c>
      <c r="G33" s="98"/>
      <c r="H33" s="98">
        <f>SUM(H29:H31)</f>
        <v>1.2569937251143453</v>
      </c>
    </row>
    <row r="34" spans="1:4" ht="19.5" customHeight="1">
      <c r="A34" s="6"/>
      <c r="B34" s="99"/>
      <c r="C34" s="23"/>
      <c r="D34" s="6"/>
    </row>
    <row r="35" spans="1:4" ht="19.5" customHeight="1">
      <c r="A35" s="6"/>
      <c r="B35" s="99"/>
      <c r="C35" s="23"/>
      <c r="D35" s="6"/>
    </row>
    <row r="36" spans="1:4" ht="19.5" customHeight="1">
      <c r="A36" s="6"/>
      <c r="B36" s="99"/>
      <c r="C36" s="22"/>
      <c r="D36" s="6"/>
    </row>
    <row r="37" spans="1:4" ht="19.5" customHeight="1">
      <c r="A37" s="6"/>
      <c r="B37" s="99"/>
      <c r="C37" s="22"/>
      <c r="D37" s="6"/>
    </row>
    <row r="38" spans="1:4" ht="19.5" customHeight="1">
      <c r="A38" s="6"/>
      <c r="B38" s="99"/>
      <c r="C38" s="22"/>
      <c r="D38" s="6"/>
    </row>
    <row r="39" ht="19.5" customHeight="1">
      <c r="C39" s="36"/>
    </row>
    <row r="40" ht="19.5" customHeight="1">
      <c r="A40" s="78"/>
    </row>
  </sheetData>
  <mergeCells count="5">
    <mergeCell ref="F7:H7"/>
    <mergeCell ref="B6:D6"/>
    <mergeCell ref="B7:D7"/>
    <mergeCell ref="A2:H2"/>
    <mergeCell ref="A4:H4"/>
  </mergeCells>
  <printOptions/>
  <pageMargins left="0.75" right="0.47" top="1.03" bottom="1" header="0.5" footer="0.5"/>
  <pageSetup horizontalDpi="600" verticalDpi="600" orientation="portrait" scale="80" r:id="rId4"/>
  <headerFooter alignWithMargins="0">
    <oddHeader>&amp;REXHIBIT A,
PAGE 1 OF 10</oddHeader>
  </headerFooter>
  <drawing r:id="rId3"/>
  <legacyDrawing r:id="rId2"/>
</worksheet>
</file>

<file path=xl/worksheets/sheet2.xml><?xml version="1.0" encoding="utf-8"?>
<worksheet xmlns="http://schemas.openxmlformats.org/spreadsheetml/2006/main" xmlns:r="http://schemas.openxmlformats.org/officeDocument/2006/relationships">
  <dimension ref="A1:G58"/>
  <sheetViews>
    <sheetView workbookViewId="0" topLeftCell="A1">
      <selection activeCell="A1" sqref="A1:G1"/>
    </sheetView>
  </sheetViews>
  <sheetFormatPr defaultColWidth="9.140625" defaultRowHeight="12.75"/>
  <cols>
    <col min="1" max="1" width="41.421875" style="6" customWidth="1"/>
    <col min="2" max="2" width="15.00390625" style="109" bestFit="1" customWidth="1"/>
    <col min="3" max="4" width="13.7109375" style="109" customWidth="1"/>
    <col min="5" max="5" width="18.00390625" style="109" bestFit="1" customWidth="1"/>
    <col min="6" max="16384" width="13.7109375" style="6" customWidth="1"/>
  </cols>
  <sheetData>
    <row r="1" spans="1:5" s="4" customFormat="1" ht="23.25">
      <c r="A1" s="505" t="s">
        <v>166</v>
      </c>
      <c r="B1" s="505"/>
      <c r="C1" s="505"/>
      <c r="D1" s="505"/>
      <c r="E1" s="505"/>
    </row>
    <row r="2" spans="1:5" s="4" customFormat="1" ht="19.5">
      <c r="A2" s="504"/>
      <c r="B2" s="504"/>
      <c r="C2" s="504"/>
      <c r="D2" s="504"/>
      <c r="E2" s="504"/>
    </row>
    <row r="3" spans="1:5" s="398" customFormat="1" ht="15">
      <c r="A3" s="506" t="s">
        <v>147</v>
      </c>
      <c r="B3" s="506"/>
      <c r="C3" s="506"/>
      <c r="D3" s="506"/>
      <c r="E3" s="506"/>
    </row>
    <row r="4" spans="1:5" s="398" customFormat="1" ht="15">
      <c r="A4" s="507" t="s">
        <v>306</v>
      </c>
      <c r="B4" s="507"/>
      <c r="C4" s="507"/>
      <c r="D4" s="507"/>
      <c r="E4" s="507"/>
    </row>
    <row r="5" spans="1:5" ht="14.25">
      <c r="A5" s="5"/>
      <c r="B5" s="128"/>
      <c r="C5" s="128"/>
      <c r="D5" s="128"/>
      <c r="E5" s="128"/>
    </row>
    <row r="6" spans="1:5" ht="45">
      <c r="A6" s="5"/>
      <c r="B6" s="127" t="s">
        <v>148</v>
      </c>
      <c r="C6" s="127" t="s">
        <v>149</v>
      </c>
      <c r="D6" s="127" t="s">
        <v>150</v>
      </c>
      <c r="E6" s="127" t="s">
        <v>151</v>
      </c>
    </row>
    <row r="7" spans="1:5" ht="15">
      <c r="A7" s="7" t="s">
        <v>168</v>
      </c>
      <c r="B7" s="161"/>
      <c r="C7" s="161"/>
      <c r="D7" s="161"/>
      <c r="E7" s="162"/>
    </row>
    <row r="8" spans="1:5" ht="14.25">
      <c r="A8" s="8" t="s">
        <v>152</v>
      </c>
      <c r="B8" s="163"/>
      <c r="C8" s="163"/>
      <c r="D8" s="163"/>
      <c r="E8" s="163"/>
    </row>
    <row r="9" spans="1:5" ht="14.25">
      <c r="A9" s="8" t="s">
        <v>153</v>
      </c>
      <c r="B9" s="422">
        <f>'[7]Trial Balance'!F11+'[7]Trial Balance'!F17</f>
        <v>9679573.77</v>
      </c>
      <c r="C9" s="163">
        <v>0</v>
      </c>
      <c r="D9" s="163">
        <v>0</v>
      </c>
      <c r="E9" s="422">
        <f>SUM(B9:D9)</f>
        <v>9679573.77</v>
      </c>
    </row>
    <row r="10" spans="1:5" ht="14.25">
      <c r="A10" s="8" t="s">
        <v>169</v>
      </c>
      <c r="B10" s="163">
        <v>0</v>
      </c>
      <c r="C10" s="163">
        <f>'Earned Incurred YTD-p6'!B49</f>
        <v>8748.01</v>
      </c>
      <c r="D10" s="163">
        <v>0</v>
      </c>
      <c r="E10" s="163">
        <f>SUM(B10:D10)</f>
        <v>8748.01</v>
      </c>
    </row>
    <row r="11" spans="1:5" ht="14.25" customHeight="1">
      <c r="A11" s="8" t="s">
        <v>170</v>
      </c>
      <c r="B11" s="163">
        <f>367611.4-181551.79</f>
        <v>186059.61000000002</v>
      </c>
      <c r="C11" s="163">
        <v>0</v>
      </c>
      <c r="D11" s="163">
        <f>B11</f>
        <v>186059.61000000002</v>
      </c>
      <c r="E11" s="163">
        <f>+B11-D11</f>
        <v>0</v>
      </c>
    </row>
    <row r="12" spans="1:5" ht="14.25" customHeight="1">
      <c r="A12" s="8" t="s">
        <v>172</v>
      </c>
      <c r="B12" s="163">
        <f>'[7]Trial Balance'!F30</f>
        <v>58814.899999999994</v>
      </c>
      <c r="C12" s="163">
        <v>0</v>
      </c>
      <c r="D12" s="163">
        <v>0</v>
      </c>
      <c r="E12" s="163">
        <f>+B12-D12</f>
        <v>58814.899999999994</v>
      </c>
    </row>
    <row r="13" spans="1:5" ht="15.75" customHeight="1">
      <c r="A13" s="8" t="s">
        <v>173</v>
      </c>
      <c r="B13" s="163">
        <f>75838.16-26986.65</f>
        <v>48851.51</v>
      </c>
      <c r="C13" s="163">
        <v>0</v>
      </c>
      <c r="D13" s="163">
        <f>B13</f>
        <v>48851.51</v>
      </c>
      <c r="E13" s="163">
        <f>+B13-D13</f>
        <v>0</v>
      </c>
    </row>
    <row r="14" spans="1:5" ht="14.25" hidden="1">
      <c r="A14" s="6" t="s">
        <v>21</v>
      </c>
      <c r="B14" s="164"/>
      <c r="C14" s="163">
        <v>0</v>
      </c>
      <c r="D14" s="163">
        <v>0</v>
      </c>
      <c r="E14" s="163">
        <f>B14+C14-D14</f>
        <v>0</v>
      </c>
    </row>
    <row r="15" spans="1:5" ht="14.25" hidden="1">
      <c r="A15" s="6" t="s">
        <v>279</v>
      </c>
      <c r="B15" s="163"/>
      <c r="C15" s="163">
        <v>0</v>
      </c>
      <c r="D15" s="163">
        <v>0</v>
      </c>
      <c r="E15" s="163">
        <f>+B15-D15</f>
        <v>0</v>
      </c>
    </row>
    <row r="16" spans="1:6" ht="14.25">
      <c r="A16" s="6" t="s">
        <v>21</v>
      </c>
      <c r="B16" s="165">
        <f>'[7]Trial Balance'!F23</f>
        <v>2971.29</v>
      </c>
      <c r="C16" s="163">
        <v>0</v>
      </c>
      <c r="D16" s="163">
        <v>0</v>
      </c>
      <c r="E16" s="163">
        <f>+B16-C16-D16</f>
        <v>2971.29</v>
      </c>
      <c r="F16" s="438"/>
    </row>
    <row r="17" spans="1:5" ht="15">
      <c r="A17" s="10" t="s">
        <v>174</v>
      </c>
      <c r="B17" s="423">
        <f>SUM(B9:B16)+1</f>
        <v>9976272.079999998</v>
      </c>
      <c r="C17" s="423">
        <f>SUM(C9:C16)</f>
        <v>8748.01</v>
      </c>
      <c r="D17" s="493">
        <f>SUM(D9:D16)+1</f>
        <v>234912.12000000002</v>
      </c>
      <c r="E17" s="423">
        <f>SUM(E9:E16)</f>
        <v>9750107.969999999</v>
      </c>
    </row>
    <row r="18" spans="1:5" ht="15" customHeight="1">
      <c r="A18" s="11"/>
      <c r="B18" s="166"/>
      <c r="C18" s="166"/>
      <c r="D18" s="166"/>
      <c r="E18" s="166"/>
    </row>
    <row r="19" spans="1:5" ht="15" customHeight="1">
      <c r="A19" s="12" t="s">
        <v>175</v>
      </c>
      <c r="B19" s="166"/>
      <c r="C19" s="166"/>
      <c r="D19" s="166"/>
      <c r="E19" s="166"/>
    </row>
    <row r="20" spans="1:5" ht="15" customHeight="1">
      <c r="A20" s="11" t="s">
        <v>176</v>
      </c>
      <c r="B20" s="166"/>
      <c r="C20" s="166"/>
      <c r="D20" s="84" t="s">
        <v>176</v>
      </c>
      <c r="E20" s="166"/>
    </row>
    <row r="21" spans="1:5" ht="15" customHeight="1">
      <c r="A21" s="9" t="s">
        <v>18</v>
      </c>
      <c r="B21" s="166"/>
      <c r="C21" s="167"/>
      <c r="D21" s="69">
        <f>-'[7]Trial Balance'!F172</f>
        <v>1218951</v>
      </c>
      <c r="E21" s="166"/>
    </row>
    <row r="22" spans="1:5" ht="15" customHeight="1">
      <c r="A22" s="9" t="s">
        <v>19</v>
      </c>
      <c r="B22" s="166"/>
      <c r="C22" s="167"/>
      <c r="D22" s="69">
        <f>-'[7]Trial Balance'!F174</f>
        <v>504070</v>
      </c>
      <c r="E22" s="166"/>
    </row>
    <row r="23" spans="1:5" ht="15" customHeight="1">
      <c r="A23" s="9" t="s">
        <v>39</v>
      </c>
      <c r="B23" s="166"/>
      <c r="C23" s="167"/>
      <c r="D23" s="69">
        <f>-'[7]Trial Balance'!F153-'[7]Trial Balance'!F170</f>
        <v>272111.74</v>
      </c>
      <c r="E23" s="166"/>
    </row>
    <row r="24" spans="1:5" ht="15" customHeight="1">
      <c r="A24" s="9" t="s">
        <v>24</v>
      </c>
      <c r="B24" s="166"/>
      <c r="C24" s="167"/>
      <c r="D24" s="69">
        <f>-'[7]Trial Balance'!F181</f>
        <v>257982</v>
      </c>
      <c r="E24" s="166"/>
    </row>
    <row r="25" spans="1:5" ht="15" customHeight="1">
      <c r="A25" s="9" t="s">
        <v>120</v>
      </c>
      <c r="B25" s="166"/>
      <c r="C25" s="168"/>
      <c r="D25" s="69">
        <f>-'[7]Trial Balance'!F185</f>
        <v>316945.26</v>
      </c>
      <c r="E25" s="166"/>
    </row>
    <row r="26" spans="1:5" ht="15" customHeight="1">
      <c r="A26" s="9" t="s">
        <v>309</v>
      </c>
      <c r="B26" s="166"/>
      <c r="C26" s="168"/>
      <c r="D26" s="69">
        <f>-'[7]Trial Balance'!F134</f>
        <v>35326.68</v>
      </c>
      <c r="E26" s="166"/>
    </row>
    <row r="27" spans="1:5" ht="15" customHeight="1">
      <c r="A27" s="9" t="s">
        <v>121</v>
      </c>
      <c r="B27" s="166"/>
      <c r="C27" s="167"/>
      <c r="D27" s="169">
        <f>-'[7]Trial Balance'!F132</f>
        <v>7976.45</v>
      </c>
      <c r="E27" s="170"/>
    </row>
    <row r="28" spans="1:5" ht="15" customHeight="1">
      <c r="A28" s="9"/>
      <c r="C28" s="166"/>
      <c r="D28" s="84"/>
      <c r="E28" s="171"/>
    </row>
    <row r="29" spans="1:5" ht="15" customHeight="1">
      <c r="A29" s="10" t="s">
        <v>177</v>
      </c>
      <c r="B29" s="166"/>
      <c r="C29" s="166"/>
      <c r="D29" s="171"/>
      <c r="E29" s="172">
        <f>SUM(D21:D27)</f>
        <v>2613363.1300000004</v>
      </c>
    </row>
    <row r="30" spans="1:5" ht="15" customHeight="1">
      <c r="A30" s="11"/>
      <c r="B30" s="166"/>
      <c r="C30" s="166"/>
      <c r="D30" s="166"/>
      <c r="E30" s="166"/>
    </row>
    <row r="31" spans="1:5" ht="15" customHeight="1">
      <c r="A31" s="12" t="s">
        <v>178</v>
      </c>
      <c r="B31" s="166"/>
      <c r="C31" s="166"/>
      <c r="D31" s="166"/>
      <c r="E31" s="166"/>
    </row>
    <row r="32" spans="1:5" ht="15" customHeight="1">
      <c r="A32" s="9" t="s">
        <v>179</v>
      </c>
      <c r="B32" s="166"/>
      <c r="C32" s="167"/>
      <c r="D32" s="166">
        <f>-'[7]Trial Balance'!F39</f>
        <v>10749487</v>
      </c>
      <c r="E32" s="166"/>
    </row>
    <row r="33" spans="1:5" ht="15" customHeight="1">
      <c r="A33" s="9" t="s">
        <v>36</v>
      </c>
      <c r="B33" s="166"/>
      <c r="C33" s="167"/>
      <c r="D33" s="166">
        <f>-'[7]Trial Balance'!F61</f>
        <v>5660523.46</v>
      </c>
      <c r="E33" s="166"/>
    </row>
    <row r="34" spans="1:5" ht="15" customHeight="1">
      <c r="A34" s="9" t="s">
        <v>292</v>
      </c>
      <c r="B34" s="166"/>
      <c r="C34" s="167"/>
      <c r="D34" s="166">
        <f>-'[7]Trial Balance'!F68</f>
        <v>1580022.3</v>
      </c>
      <c r="E34" s="166"/>
    </row>
    <row r="35" spans="1:5" ht="15" customHeight="1">
      <c r="A35" s="9" t="s">
        <v>293</v>
      </c>
      <c r="B35" s="166"/>
      <c r="C35" s="167"/>
      <c r="D35" s="166">
        <f>-'[7]Trial Balance'!F97</f>
        <v>490767.38</v>
      </c>
      <c r="E35" s="166"/>
    </row>
    <row r="36" spans="1:5" ht="15" customHeight="1">
      <c r="A36" s="9" t="s">
        <v>294</v>
      </c>
      <c r="B36" s="167"/>
      <c r="C36" s="167"/>
      <c r="D36" s="166">
        <f>-'[7]Trial Balance'!F123</f>
        <v>226420.94</v>
      </c>
      <c r="E36" s="166"/>
    </row>
    <row r="37" spans="1:5" ht="15" customHeight="1">
      <c r="A37" s="9" t="s">
        <v>138</v>
      </c>
      <c r="B37" s="166"/>
      <c r="C37" s="167"/>
      <c r="D37" s="109">
        <f>-'[7]Trial Balance'!F144</f>
        <v>293447.56</v>
      </c>
      <c r="E37" s="166"/>
    </row>
    <row r="38" spans="1:5" ht="15" customHeight="1">
      <c r="A38" s="9" t="s">
        <v>119</v>
      </c>
      <c r="B38" s="166"/>
      <c r="C38" s="166"/>
      <c r="D38" s="173">
        <f>-'[7]Trial Balance'!F127-'[7]Trial Balance'!F129</f>
        <v>61134.57</v>
      </c>
      <c r="E38" s="166"/>
    </row>
    <row r="39" spans="1:5" ht="15" customHeight="1">
      <c r="A39" s="9"/>
      <c r="B39" s="166"/>
      <c r="C39" s="166"/>
      <c r="D39" s="171"/>
      <c r="E39" s="166"/>
    </row>
    <row r="40" spans="1:5" ht="15" customHeight="1">
      <c r="A40" s="13" t="s">
        <v>280</v>
      </c>
      <c r="B40" s="166"/>
      <c r="C40" s="166"/>
      <c r="D40" s="167"/>
      <c r="E40" s="170">
        <f>SUM(D32:D38)</f>
        <v>19061803.21</v>
      </c>
    </row>
    <row r="41" spans="1:5" ht="15" customHeight="1">
      <c r="A41" s="13"/>
      <c r="B41" s="166"/>
      <c r="C41" s="166"/>
      <c r="D41" s="167"/>
      <c r="E41" s="174"/>
    </row>
    <row r="42" spans="1:5" ht="15" customHeight="1">
      <c r="A42" s="10" t="s">
        <v>181</v>
      </c>
      <c r="B42" s="166"/>
      <c r="C42" s="166"/>
      <c r="D42" s="167"/>
      <c r="E42" s="175">
        <f>E29+E40</f>
        <v>21675166.34</v>
      </c>
    </row>
    <row r="43" spans="1:5" ht="15" customHeight="1">
      <c r="A43" s="11"/>
      <c r="B43" s="166"/>
      <c r="C43" s="166"/>
      <c r="D43" s="167"/>
      <c r="E43" s="166"/>
    </row>
    <row r="44" spans="1:5" ht="15" customHeight="1">
      <c r="A44" s="12" t="s">
        <v>182</v>
      </c>
      <c r="B44" s="166"/>
      <c r="C44" s="166"/>
      <c r="D44" s="167"/>
      <c r="E44" s="166"/>
    </row>
    <row r="45" spans="1:7" ht="15" customHeight="1">
      <c r="A45" s="9" t="s">
        <v>308</v>
      </c>
      <c r="B45" s="166"/>
      <c r="C45" s="166"/>
      <c r="D45" s="167"/>
      <c r="E45" s="176">
        <f>+E17-E42</f>
        <v>-11925058.370000001</v>
      </c>
      <c r="F45" s="367"/>
      <c r="G45" s="438"/>
    </row>
    <row r="46" spans="1:5" ht="15" customHeight="1">
      <c r="A46" s="11"/>
      <c r="B46" s="167"/>
      <c r="C46" s="167"/>
      <c r="D46" s="167"/>
      <c r="E46" s="166"/>
    </row>
    <row r="47" spans="1:5" ht="15" customHeight="1" thickBot="1">
      <c r="A47" s="13" t="s">
        <v>183</v>
      </c>
      <c r="B47" s="166"/>
      <c r="C47" s="166"/>
      <c r="D47" s="166"/>
      <c r="E47" s="424">
        <f>E42+E45</f>
        <v>9750107.969999999</v>
      </c>
    </row>
    <row r="48" spans="1:5" ht="15" thickTop="1">
      <c r="A48" s="11"/>
      <c r="B48" s="166"/>
      <c r="C48" s="166"/>
      <c r="D48" s="166"/>
      <c r="E48" s="166"/>
    </row>
    <row r="49" spans="1:5" ht="14.25">
      <c r="A49" s="11"/>
      <c r="B49" s="177"/>
      <c r="C49" s="177"/>
      <c r="D49" s="177"/>
      <c r="E49" s="166"/>
    </row>
    <row r="50" ht="14.25">
      <c r="E50" s="177"/>
    </row>
    <row r="51" ht="14.25">
      <c r="E51" s="177"/>
    </row>
    <row r="52" ht="14.25">
      <c r="E52" s="177"/>
    </row>
    <row r="53" ht="14.25">
      <c r="E53" s="177"/>
    </row>
    <row r="54" ht="14.25">
      <c r="E54" s="177"/>
    </row>
    <row r="58" spans="1:5" ht="15">
      <c r="A58" s="489"/>
      <c r="E58" s="490"/>
    </row>
  </sheetData>
  <mergeCells count="4">
    <mergeCell ref="A2:E2"/>
    <mergeCell ref="A1:E1"/>
    <mergeCell ref="A3:E3"/>
    <mergeCell ref="A4:E4"/>
  </mergeCells>
  <printOptions horizontalCentered="1"/>
  <pageMargins left="0.25" right="0.25" top="0.75" bottom="0.75" header="0.25" footer="0.25"/>
  <pageSetup horizontalDpi="300" verticalDpi="300" orientation="portrait" scale="80" r:id="rId1"/>
</worksheet>
</file>

<file path=xl/worksheets/sheet3.xml><?xml version="1.0" encoding="utf-8"?>
<worksheet xmlns="http://schemas.openxmlformats.org/spreadsheetml/2006/main" xmlns:r="http://schemas.openxmlformats.org/officeDocument/2006/relationships">
  <dimension ref="A1:G41"/>
  <sheetViews>
    <sheetView workbookViewId="0" topLeftCell="A1">
      <selection activeCell="A1" sqref="A1:G1"/>
    </sheetView>
  </sheetViews>
  <sheetFormatPr defaultColWidth="9.140625" defaultRowHeight="12.75"/>
  <cols>
    <col min="1" max="1" width="41.421875" style="15" customWidth="1"/>
    <col min="2" max="5" width="17.7109375" style="70" customWidth="1"/>
    <col min="6" max="7" width="16.8515625" style="70" hidden="1" customWidth="1"/>
    <col min="8" max="8" width="9.140625" style="15" customWidth="1"/>
    <col min="9" max="9" width="9.7109375" style="15" bestFit="1" customWidth="1"/>
    <col min="10" max="16384" width="9.140625" style="15" customWidth="1"/>
  </cols>
  <sheetData>
    <row r="1" spans="1:7" s="67" customFormat="1" ht="23.25">
      <c r="A1" s="509" t="s">
        <v>166</v>
      </c>
      <c r="B1" s="509"/>
      <c r="C1" s="509"/>
      <c r="D1" s="509"/>
      <c r="E1" s="509"/>
      <c r="F1" s="509"/>
      <c r="G1" s="509"/>
    </row>
    <row r="2" spans="1:7" s="17" customFormat="1" ht="18.75">
      <c r="A2" s="508"/>
      <c r="B2" s="508"/>
      <c r="C2" s="508"/>
      <c r="D2" s="508"/>
      <c r="E2" s="508"/>
      <c r="F2" s="324"/>
      <c r="G2" s="324"/>
    </row>
    <row r="3" spans="1:7" s="19" customFormat="1" ht="15">
      <c r="A3" s="510" t="s">
        <v>184</v>
      </c>
      <c r="B3" s="510"/>
      <c r="C3" s="510"/>
      <c r="D3" s="510"/>
      <c r="E3" s="510"/>
      <c r="F3" s="510"/>
      <c r="G3" s="510"/>
    </row>
    <row r="4" spans="1:7" s="19" customFormat="1" ht="15">
      <c r="A4" s="511" t="s">
        <v>306</v>
      </c>
      <c r="B4" s="511"/>
      <c r="C4" s="511"/>
      <c r="D4" s="511"/>
      <c r="E4" s="511"/>
      <c r="F4" s="511"/>
      <c r="G4" s="511"/>
    </row>
    <row r="5" spans="1:7" s="19" customFormat="1" ht="15">
      <c r="A5" s="18"/>
      <c r="B5" s="195"/>
      <c r="C5" s="195"/>
      <c r="D5" s="195"/>
      <c r="E5" s="195"/>
      <c r="F5" s="159"/>
      <c r="G5" s="159"/>
    </row>
    <row r="6" spans="1:7" ht="14.25">
      <c r="A6" s="20"/>
      <c r="B6" s="196"/>
      <c r="C6" s="196"/>
      <c r="F6" s="196"/>
      <c r="G6" s="196"/>
    </row>
    <row r="7" spans="2:7" ht="15">
      <c r="B7" s="197" t="s">
        <v>146</v>
      </c>
      <c r="C7" s="197"/>
      <c r="D7" s="197" t="s">
        <v>185</v>
      </c>
      <c r="E7" s="197"/>
      <c r="F7" s="197" t="s">
        <v>291</v>
      </c>
      <c r="G7" s="197"/>
    </row>
    <row r="8" spans="1:7" ht="15">
      <c r="A8" s="21"/>
      <c r="B8" s="184" t="s">
        <v>289</v>
      </c>
      <c r="C8" s="184"/>
      <c r="D8" s="184" t="s">
        <v>186</v>
      </c>
      <c r="E8" s="184"/>
      <c r="F8" s="184" t="s">
        <v>290</v>
      </c>
      <c r="G8" s="184"/>
    </row>
    <row r="9" spans="2:7" ht="15">
      <c r="B9" s="198"/>
      <c r="C9" s="319"/>
      <c r="D9" s="198"/>
      <c r="E9" s="199"/>
      <c r="F9" s="198"/>
      <c r="G9" s="199"/>
    </row>
    <row r="10" spans="1:7" ht="15">
      <c r="A10" s="21" t="s">
        <v>188</v>
      </c>
      <c r="B10" s="198"/>
      <c r="C10" s="199"/>
      <c r="D10" s="198"/>
      <c r="E10" s="199"/>
      <c r="F10" s="198"/>
      <c r="G10" s="199"/>
    </row>
    <row r="11" spans="1:7" ht="15">
      <c r="A11" s="21"/>
      <c r="B11" s="198"/>
      <c r="C11" s="199"/>
      <c r="D11" s="198"/>
      <c r="E11" s="199"/>
      <c r="F11" s="198"/>
      <c r="G11" s="199"/>
    </row>
    <row r="12" spans="1:7" ht="15">
      <c r="A12" s="15" t="s">
        <v>189</v>
      </c>
      <c r="C12" s="420">
        <f>'Earned Incurred QTD-p5'!D16</f>
        <v>5242856</v>
      </c>
      <c r="D12" s="331"/>
      <c r="E12" s="420">
        <f>'Earned Incurred YTD-p6'!D16</f>
        <v>19295204</v>
      </c>
      <c r="G12" s="420">
        <f>+'[6]Income Statement (pg 2)'!$C$12</f>
        <v>4336172</v>
      </c>
    </row>
    <row r="13" spans="1:7" ht="15">
      <c r="A13" s="21"/>
      <c r="C13" s="200"/>
      <c r="E13" s="200"/>
      <c r="G13" s="200"/>
    </row>
    <row r="14" spans="1:7" ht="15">
      <c r="A14" s="21" t="s">
        <v>190</v>
      </c>
      <c r="C14" s="200"/>
      <c r="E14" s="200"/>
      <c r="G14" s="200"/>
    </row>
    <row r="15" spans="1:7" ht="14.25">
      <c r="A15" s="15" t="s">
        <v>191</v>
      </c>
      <c r="B15" s="70">
        <f>'Earned Incurred QTD-p5'!D23</f>
        <v>3840798.2399999993</v>
      </c>
      <c r="C15" s="200"/>
      <c r="D15" s="70">
        <f>'Earned Incurred YTD-p6'!D23</f>
        <v>13923850.280000001</v>
      </c>
      <c r="E15" s="200"/>
      <c r="F15" s="70">
        <f>+'[6]Income Statement (pg 2)'!$B$15</f>
        <v>3666364.3599999994</v>
      </c>
      <c r="G15" s="200"/>
    </row>
    <row r="16" spans="1:7" ht="14.25">
      <c r="A16" s="15" t="s">
        <v>192</v>
      </c>
      <c r="B16" s="70">
        <f>'Earned Incurred QTD-p5'!D30</f>
        <v>609386.4300000002</v>
      </c>
      <c r="C16" s="200"/>
      <c r="D16" s="70">
        <f>'Earned Incurred YTD-p6'!D30</f>
        <v>1813149.0799999998</v>
      </c>
      <c r="E16" s="200"/>
      <c r="F16" s="70">
        <f>+'[6]Income Statement (pg 2)'!$B$16</f>
        <v>411228.76</v>
      </c>
      <c r="G16" s="200"/>
    </row>
    <row r="17" spans="1:7" ht="14.25">
      <c r="A17" s="15" t="s">
        <v>193</v>
      </c>
      <c r="B17" s="70">
        <f>'Earned Incurred QTD-p5'!D37</f>
        <v>469654.0999999999</v>
      </c>
      <c r="C17" s="200"/>
      <c r="D17" s="70">
        <f>+'Earned Incurred YTD-p6'!D37</f>
        <v>1890907.1999999995</v>
      </c>
      <c r="E17" s="200"/>
      <c r="F17" s="70">
        <f>+'[6]Income Statement (pg 2)'!$B$17:$B$17</f>
        <v>404349.55000000005</v>
      </c>
      <c r="G17" s="200"/>
    </row>
    <row r="18" spans="1:7" ht="14.25">
      <c r="A18" s="15" t="s">
        <v>194</v>
      </c>
      <c r="B18" s="70">
        <f>'Earned Incurred QTD-p5'!C39+'Earned Incurred QTD-p5'!C38+'Earned Incurred QTD-p5'!C43</f>
        <v>1126598.2799999993</v>
      </c>
      <c r="C18" s="200"/>
      <c r="D18" s="70">
        <f>'Earned Incurred YTD-p6'!C38+'Earned Incurred YTD-p6'!C39+'Earned Incurred YTD-p6'!C43</f>
        <v>4283058.149999998</v>
      </c>
      <c r="E18" s="200"/>
      <c r="F18" s="70">
        <f>+'[6]Income Statement (pg 2)'!$B$18</f>
        <v>859175.9900000002</v>
      </c>
      <c r="G18" s="200"/>
    </row>
    <row r="19" spans="1:7" ht="14.25">
      <c r="A19" s="15" t="s">
        <v>133</v>
      </c>
      <c r="B19" s="85">
        <f>'Earned Incurred QTD-p5'!D36</f>
        <v>20106.92</v>
      </c>
      <c r="C19" s="200"/>
      <c r="D19" s="85">
        <f>'Earned Incurred YTD-p6'!D36</f>
        <v>97598.57</v>
      </c>
      <c r="E19" s="200"/>
      <c r="F19" s="85">
        <f>+'[6]Income Statement (pg 2)'!$B$19</f>
        <v>11580</v>
      </c>
      <c r="G19" s="200"/>
    </row>
    <row r="20" spans="1:7" ht="14.25">
      <c r="A20" s="15" t="s">
        <v>195</v>
      </c>
      <c r="C20" s="201">
        <f>SUM(B15:B19)-1</f>
        <v>6066542.969999999</v>
      </c>
      <c r="E20" s="201">
        <f>SUM(D15:D19)</f>
        <v>22008563.28</v>
      </c>
      <c r="G20" s="201">
        <f>SUM(F15:F19)</f>
        <v>5352698.659999999</v>
      </c>
    </row>
    <row r="21" spans="3:7" ht="14.25">
      <c r="C21" s="200"/>
      <c r="E21" s="200"/>
      <c r="G21" s="200"/>
    </row>
    <row r="22" spans="1:7" ht="14.25">
      <c r="A22" s="15" t="s">
        <v>281</v>
      </c>
      <c r="C22" s="201">
        <f>C12-C20</f>
        <v>-823686.9699999988</v>
      </c>
      <c r="E22" s="201">
        <f>E12-E20</f>
        <v>-2713359.280000001</v>
      </c>
      <c r="G22" s="201">
        <f>G12-G20</f>
        <v>-1016526.6599999992</v>
      </c>
    </row>
    <row r="23" spans="1:7" ht="15">
      <c r="A23" s="21"/>
      <c r="C23" s="200"/>
      <c r="E23" s="200"/>
      <c r="G23" s="200"/>
    </row>
    <row r="24" spans="1:7" ht="15">
      <c r="A24" s="21" t="s">
        <v>196</v>
      </c>
      <c r="C24" s="200"/>
      <c r="E24" s="200"/>
      <c r="G24" s="200"/>
    </row>
    <row r="25" spans="1:7" ht="14.25">
      <c r="A25" s="15" t="s">
        <v>197</v>
      </c>
      <c r="C25" s="201">
        <f>'Earned Incurred QTD-p5'!D52</f>
        <v>28771.689999999995</v>
      </c>
      <c r="E25" s="201">
        <f>'Earned Incurred YTD-p6'!D52</f>
        <v>117169.35999999999</v>
      </c>
      <c r="G25" s="200">
        <f>+'[6]Income Statement (pg 2)'!$C$25</f>
        <v>52310.600000000006</v>
      </c>
    </row>
    <row r="26" spans="3:7" ht="14.25">
      <c r="C26" s="200"/>
      <c r="E26" s="200"/>
      <c r="G26" s="200"/>
    </row>
    <row r="27" spans="1:7" ht="15" thickBot="1">
      <c r="A27" s="15" t="s">
        <v>282</v>
      </c>
      <c r="C27" s="202">
        <f>C22+C25</f>
        <v>-794915.2799999989</v>
      </c>
      <c r="E27" s="202">
        <f>E22+E25</f>
        <v>-2596189.9200000013</v>
      </c>
      <c r="G27" s="202">
        <f>G22+G25</f>
        <v>-964216.0599999992</v>
      </c>
    </row>
    <row r="28" spans="1:7" ht="15">
      <c r="A28" s="21"/>
      <c r="C28" s="219"/>
      <c r="E28" s="200"/>
      <c r="G28" s="219"/>
    </row>
    <row r="29" spans="1:7" ht="15">
      <c r="A29" s="21" t="s">
        <v>182</v>
      </c>
      <c r="C29" s="200"/>
      <c r="E29" s="200"/>
      <c r="G29" s="200"/>
    </row>
    <row r="30" spans="1:7" ht="14.25">
      <c r="A30" s="15" t="s">
        <v>198</v>
      </c>
      <c r="C30" s="200">
        <v>-11320995.02</v>
      </c>
      <c r="E30" s="200">
        <v>-9552179</v>
      </c>
      <c r="G30" s="200">
        <f>+'[6]Income Statement (pg 2)'!$C$30</f>
        <v>-7427828.95</v>
      </c>
    </row>
    <row r="31" spans="1:7" ht="14.25">
      <c r="A31" s="15" t="s">
        <v>283</v>
      </c>
      <c r="B31" s="70">
        <f>C27</f>
        <v>-794915.2799999989</v>
      </c>
      <c r="C31" s="200"/>
      <c r="D31" s="70">
        <f>+'Earned Incurred YTD-p6'!D54</f>
        <v>-2596189.9199999976</v>
      </c>
      <c r="E31" s="200"/>
      <c r="F31" s="70">
        <f>G27</f>
        <v>-964216.0599999992</v>
      </c>
      <c r="G31" s="200"/>
    </row>
    <row r="32" spans="1:7" ht="14.25" customHeight="1">
      <c r="A32" s="15" t="s">
        <v>199</v>
      </c>
      <c r="B32" s="70">
        <v>15024.93</v>
      </c>
      <c r="D32" s="214">
        <f>47483.05+1</f>
        <v>47484.05</v>
      </c>
      <c r="E32" s="200"/>
      <c r="F32" s="322">
        <f>+'[6]Income Statement (pg 2)'!$B$32</f>
        <v>16655</v>
      </c>
      <c r="G32" s="200"/>
    </row>
    <row r="33" spans="1:6" ht="14.25" hidden="1">
      <c r="A33" s="15" t="s">
        <v>37</v>
      </c>
      <c r="B33" s="70">
        <v>0</v>
      </c>
      <c r="C33" s="200"/>
      <c r="D33" s="214">
        <f>-40790-4979.98-26-1710</f>
        <v>-47505.979999999996</v>
      </c>
      <c r="E33" s="200"/>
      <c r="F33" s="70">
        <v>0</v>
      </c>
    </row>
    <row r="34" spans="1:7" ht="14.25" hidden="1">
      <c r="A34" s="15" t="s">
        <v>38</v>
      </c>
      <c r="B34" s="70">
        <v>0</v>
      </c>
      <c r="C34" s="200"/>
      <c r="D34" s="70">
        <v>0</v>
      </c>
      <c r="E34" s="200"/>
      <c r="F34" s="85" t="e">
        <f>+'[5]TB09-30-02(Final)'!I931</f>
        <v>#REF!</v>
      </c>
      <c r="G34" s="200"/>
    </row>
    <row r="35" spans="1:7" ht="14.25">
      <c r="A35" s="15" t="s">
        <v>310</v>
      </c>
      <c r="B35" s="85">
        <v>175827</v>
      </c>
      <c r="D35" s="322">
        <f>B35</f>
        <v>175827</v>
      </c>
      <c r="E35" s="200"/>
      <c r="G35" s="200"/>
    </row>
    <row r="36" spans="1:7" ht="14.25">
      <c r="A36" s="15" t="s">
        <v>200</v>
      </c>
      <c r="C36" s="200">
        <f>B31+B32+B35</f>
        <v>-604063.3499999988</v>
      </c>
      <c r="E36" s="200">
        <f>D31+D32+D35</f>
        <v>-2372878.869999998</v>
      </c>
      <c r="G36" s="200">
        <f>SUM(F31:F32)</f>
        <v>-947561.0599999992</v>
      </c>
    </row>
    <row r="37" spans="3:7" ht="14.25">
      <c r="C37" s="200"/>
      <c r="E37" s="200"/>
      <c r="G37" s="200"/>
    </row>
    <row r="38" spans="1:7" ht="15.75" thickBot="1">
      <c r="A38" s="67" t="s">
        <v>307</v>
      </c>
      <c r="C38" s="421">
        <f>C30+C36</f>
        <v>-11925058.37</v>
      </c>
      <c r="D38" s="331"/>
      <c r="E38" s="421">
        <f>E30+E36</f>
        <v>-11925057.869999997</v>
      </c>
      <c r="G38" s="421">
        <f>G30+G36</f>
        <v>-8375390.01</v>
      </c>
    </row>
    <row r="39" spans="2:7" s="6" customFormat="1" ht="15" thickTop="1">
      <c r="B39" s="109"/>
      <c r="C39" s="109"/>
      <c r="D39" s="220"/>
      <c r="E39" s="109"/>
      <c r="F39" s="70"/>
      <c r="G39" s="70"/>
    </row>
    <row r="41" ht="14.25">
      <c r="C41" s="220"/>
    </row>
  </sheetData>
  <mergeCells count="4">
    <mergeCell ref="A2:E2"/>
    <mergeCell ref="A1:G1"/>
    <mergeCell ref="A3:G3"/>
    <mergeCell ref="A4:G4"/>
  </mergeCells>
  <printOptions horizontalCentered="1"/>
  <pageMargins left="0.25" right="0.25" top="0.75" bottom="0.75" header="0.5" footer="0.5"/>
  <pageSetup orientation="portrait" scale="80" r:id="rId1"/>
  <headerFooter alignWithMargins="0">
    <oddFooter>&amp;CPage 2
</oddFooter>
  </headerFooter>
</worksheet>
</file>

<file path=xl/worksheets/sheet4.xml><?xml version="1.0" encoding="utf-8"?>
<worksheet xmlns="http://schemas.openxmlformats.org/spreadsheetml/2006/main" xmlns:r="http://schemas.openxmlformats.org/officeDocument/2006/relationships">
  <dimension ref="A1:H68"/>
  <sheetViews>
    <sheetView workbookViewId="0" topLeftCell="A1">
      <selection activeCell="A1" sqref="A1:G1"/>
    </sheetView>
  </sheetViews>
  <sheetFormatPr defaultColWidth="9.140625" defaultRowHeight="15" customHeight="1"/>
  <cols>
    <col min="1" max="1" width="41.421875" style="29" customWidth="1"/>
    <col min="2" max="2" width="15.7109375" style="108" customWidth="1"/>
    <col min="3" max="5" width="15.7109375" style="216" customWidth="1"/>
    <col min="6" max="6" width="15.7109375" style="218" customWidth="1"/>
    <col min="7" max="7" width="16.421875" style="218" customWidth="1"/>
    <col min="8" max="8" width="10.28125" style="29" bestFit="1" customWidth="1"/>
    <col min="9" max="16384" width="9.140625" style="29" customWidth="1"/>
  </cols>
  <sheetData>
    <row r="1" spans="1:7" s="94" customFormat="1" ht="25.5">
      <c r="A1" s="512" t="s">
        <v>166</v>
      </c>
      <c r="B1" s="512"/>
      <c r="C1" s="512"/>
      <c r="D1" s="512"/>
      <c r="E1" s="512"/>
      <c r="F1" s="512"/>
      <c r="G1" s="512"/>
    </row>
    <row r="2" spans="1:7" s="26" customFormat="1" ht="18.75">
      <c r="A2" s="504"/>
      <c r="B2" s="504"/>
      <c r="C2" s="504"/>
      <c r="D2" s="504"/>
      <c r="E2" s="504"/>
      <c r="F2" s="504"/>
      <c r="G2" s="504"/>
    </row>
    <row r="3" spans="1:7" s="374" customFormat="1" ht="15.75">
      <c r="A3" s="513" t="s">
        <v>201</v>
      </c>
      <c r="B3" s="513"/>
      <c r="C3" s="513"/>
      <c r="D3" s="513"/>
      <c r="E3" s="513"/>
      <c r="F3" s="513"/>
      <c r="G3" s="513"/>
    </row>
    <row r="4" spans="1:7" s="374" customFormat="1" ht="15.75">
      <c r="A4" s="513" t="s">
        <v>298</v>
      </c>
      <c r="B4" s="513"/>
      <c r="C4" s="513"/>
      <c r="D4" s="513"/>
      <c r="E4" s="513"/>
      <c r="F4" s="513"/>
      <c r="G4" s="513"/>
    </row>
    <row r="5" spans="1:7" s="28" customFormat="1" ht="18.75">
      <c r="A5" s="27"/>
      <c r="B5" s="215"/>
      <c r="C5" s="215"/>
      <c r="D5" s="215"/>
      <c r="E5" s="215"/>
      <c r="F5" s="195"/>
      <c r="G5" s="217"/>
    </row>
    <row r="6" spans="2:7" s="375" customFormat="1" ht="30" customHeight="1">
      <c r="B6" s="417" t="s">
        <v>32</v>
      </c>
      <c r="C6" s="417" t="s">
        <v>33</v>
      </c>
      <c r="D6" s="417" t="s">
        <v>139</v>
      </c>
      <c r="E6" s="417" t="s">
        <v>154</v>
      </c>
      <c r="F6" s="417" t="s">
        <v>131</v>
      </c>
      <c r="G6" s="439" t="s">
        <v>167</v>
      </c>
    </row>
    <row r="7" spans="1:7" s="379" customFormat="1" ht="15" customHeight="1">
      <c r="A7" s="376" t="s">
        <v>203</v>
      </c>
      <c r="B7" s="377"/>
      <c r="C7" s="377"/>
      <c r="D7" s="377"/>
      <c r="E7" s="377"/>
      <c r="F7" s="377"/>
      <c r="G7" s="378"/>
    </row>
    <row r="8" spans="1:7" s="382" customFormat="1" ht="15" customHeight="1">
      <c r="A8" s="380" t="s">
        <v>204</v>
      </c>
      <c r="B8" s="418">
        <f>+'Premiums QTD-p7'!B11</f>
        <v>5404692</v>
      </c>
      <c r="C8" s="418">
        <f>+'Premiums QTD-p7'!C11</f>
        <v>-18754</v>
      </c>
      <c r="D8" s="418">
        <f>+'Premiums QTD-p7'!D11</f>
        <v>-486</v>
      </c>
      <c r="E8" s="491">
        <f>+'Premiums QTD-p7'!E11</f>
        <v>0</v>
      </c>
      <c r="F8" s="381">
        <f>+'Premiums QTD-p7'!F11</f>
        <v>0</v>
      </c>
      <c r="G8" s="418">
        <f>SUM(B8:F8)</f>
        <v>5385452</v>
      </c>
    </row>
    <row r="9" spans="1:7" s="382" customFormat="1" ht="15" customHeight="1">
      <c r="A9" s="380" t="s">
        <v>205</v>
      </c>
      <c r="B9" s="381">
        <f>+'Earned Incurred QTD-p5'!C48</f>
        <v>26746.419999999995</v>
      </c>
      <c r="C9" s="381">
        <v>0</v>
      </c>
      <c r="D9" s="381">
        <v>0</v>
      </c>
      <c r="E9" s="381">
        <v>0</v>
      </c>
      <c r="F9" s="381">
        <v>0</v>
      </c>
      <c r="G9" s="381">
        <f>SUM(B9:F9)</f>
        <v>26746.419999999995</v>
      </c>
    </row>
    <row r="10" spans="1:7" s="382" customFormat="1" ht="15" customHeight="1" thickBot="1">
      <c r="A10" s="382" t="s">
        <v>206</v>
      </c>
      <c r="B10" s="383">
        <f aca="true" t="shared" si="0" ref="B10:G10">SUM(B8:B9)</f>
        <v>5431438.42</v>
      </c>
      <c r="C10" s="383">
        <f t="shared" si="0"/>
        <v>-18754</v>
      </c>
      <c r="D10" s="383">
        <f t="shared" si="0"/>
        <v>-486</v>
      </c>
      <c r="E10" s="383">
        <f t="shared" si="0"/>
        <v>0</v>
      </c>
      <c r="F10" s="383">
        <f t="shared" si="0"/>
        <v>0</v>
      </c>
      <c r="G10" s="394">
        <f t="shared" si="0"/>
        <v>5412198.42</v>
      </c>
    </row>
    <row r="11" spans="2:7" s="382" customFormat="1" ht="15" customHeight="1" thickTop="1">
      <c r="B11" s="381"/>
      <c r="C11" s="381"/>
      <c r="D11" s="381"/>
      <c r="E11" s="381"/>
      <c r="F11" s="381"/>
      <c r="G11" s="381"/>
    </row>
    <row r="12" spans="1:7" s="382" customFormat="1" ht="15" customHeight="1">
      <c r="A12" s="376" t="s">
        <v>207</v>
      </c>
      <c r="B12" s="384"/>
      <c r="C12" s="384"/>
      <c r="D12" s="384"/>
      <c r="E12" s="384"/>
      <c r="F12" s="384"/>
      <c r="G12" s="381"/>
    </row>
    <row r="13" spans="1:7" s="382" customFormat="1" ht="15" customHeight="1">
      <c r="A13" s="382" t="s">
        <v>208</v>
      </c>
      <c r="B13" s="381">
        <f>+'Losses Incurred QTD-p9'!B12</f>
        <v>1487345.01</v>
      </c>
      <c r="C13" s="381">
        <f>+'Losses Incurred QTD-p9'!C12</f>
        <v>1322554.99</v>
      </c>
      <c r="D13" s="381">
        <f>+'Losses Incurred QTD-p9'!D12</f>
        <v>21062.7</v>
      </c>
      <c r="E13" s="381">
        <f>+'Losses Incurred QTD-p9'!E12</f>
        <v>3500</v>
      </c>
      <c r="F13" s="381">
        <f>+'Losses Incurred QTD-p9'!F12</f>
        <v>-197.94</v>
      </c>
      <c r="G13" s="381">
        <f>SUM(B13:F13)</f>
        <v>2834264.7600000002</v>
      </c>
    </row>
    <row r="14" spans="1:7" s="382" customFormat="1" ht="15" customHeight="1">
      <c r="A14" s="382" t="s">
        <v>209</v>
      </c>
      <c r="B14" s="381">
        <f>'[7]Loss Expenses Paid QTD-p16'!C37</f>
        <v>158658.37</v>
      </c>
      <c r="C14" s="381">
        <f>'[7]Loss Expenses Paid QTD-p16'!C31</f>
        <v>97696.03</v>
      </c>
      <c r="D14" s="381">
        <f>'[7]Loss Expenses Paid QTD-p16'!C25</f>
        <v>12029.84</v>
      </c>
      <c r="E14" s="381">
        <f>'[7]Loss Expenses Paid QTD-p16'!C19</f>
        <v>1458.48</v>
      </c>
      <c r="F14" s="381">
        <f>'[7]Loss Expenses Paid QTD-p16'!C13</f>
        <v>3937.84</v>
      </c>
      <c r="G14" s="381">
        <f aca="true" t="shared" si="1" ref="G14:G21">SUM(B14:F14)</f>
        <v>273780.56</v>
      </c>
    </row>
    <row r="15" spans="1:8" s="382" customFormat="1" ht="15" customHeight="1">
      <c r="A15" s="382" t="s">
        <v>210</v>
      </c>
      <c r="B15" s="381">
        <f>'[7]Loss Expenses Paid QTD-p16'!I37</f>
        <v>75062.61</v>
      </c>
      <c r="C15" s="381">
        <f>'[7]Loss Expenses Paid QTD-p16'!I31</f>
        <v>66839.42</v>
      </c>
      <c r="D15" s="381">
        <f>'[7]Loss Expenses Paid QTD-p16'!I25</f>
        <v>1063.04</v>
      </c>
      <c r="E15" s="381">
        <f>'[7]Loss Expenses Paid QTD-p16'!I19</f>
        <v>176.63</v>
      </c>
      <c r="F15" s="381">
        <f>'[7]Loss Expenses Paid QTD-p16'!I13</f>
        <v>0</v>
      </c>
      <c r="G15" s="381">
        <f t="shared" si="1"/>
        <v>143141.7</v>
      </c>
      <c r="H15" s="397"/>
    </row>
    <row r="16" spans="1:7" s="382" customFormat="1" ht="15" customHeight="1">
      <c r="A16" s="382" t="s">
        <v>211</v>
      </c>
      <c r="B16" s="381">
        <f>'[7]Trial Balance'!D396</f>
        <v>6735.76</v>
      </c>
      <c r="C16" s="381">
        <v>0</v>
      </c>
      <c r="D16" s="381">
        <v>0</v>
      </c>
      <c r="E16" s="381">
        <v>0</v>
      </c>
      <c r="F16" s="84">
        <v>0</v>
      </c>
      <c r="G16" s="381">
        <f t="shared" si="1"/>
        <v>6735.76</v>
      </c>
    </row>
    <row r="17" spans="1:7" s="382" customFormat="1" ht="15" customHeight="1">
      <c r="A17" s="385" t="s">
        <v>212</v>
      </c>
      <c r="B17" s="381">
        <f>'[7]Trial Balance'!D406</f>
        <v>94652.34</v>
      </c>
      <c r="C17" s="381">
        <v>0</v>
      </c>
      <c r="D17" s="381">
        <v>0</v>
      </c>
      <c r="E17" s="381">
        <v>0</v>
      </c>
      <c r="F17" s="381">
        <v>0</v>
      </c>
      <c r="G17" s="381">
        <f t="shared" si="1"/>
        <v>94652.34</v>
      </c>
    </row>
    <row r="18" spans="1:8" s="382" customFormat="1" ht="15" customHeight="1">
      <c r="A18" s="385" t="s">
        <v>213</v>
      </c>
      <c r="B18" s="381">
        <f>'[7]Trial Balance'!C370+'[7]Trial Balance'!C375+'[7]Trial Balance'!C378+'[7]Trial Balance'!C383+'[7]Trial Balance'!C387+'[7]Trial Balance'!C390</f>
        <v>471440.59999999986</v>
      </c>
      <c r="C18" s="381">
        <f>'[7]Trial Balance'!C369+'[7]Trial Balance'!C374+'[7]Trial Balance'!C377+'[7]Trial Balance'!C382+'[7]Trial Balance'!C386+'[7]Trial Balance'!C389</f>
        <v>-1786.4999999999998</v>
      </c>
      <c r="D18" s="381">
        <f>'[7]Trial Balance'!C368+'[7]Trial Balance'!C373+'[7]Trial Balance'!C381+'[7]Trial Balance'!C385</f>
        <v>0</v>
      </c>
      <c r="E18" s="381">
        <f>'[7]Trial Balance'!C367+'[7]Trial Balance'!C372</f>
        <v>0</v>
      </c>
      <c r="F18" s="381">
        <v>0</v>
      </c>
      <c r="G18" s="381">
        <f t="shared" si="1"/>
        <v>469654.09999999986</v>
      </c>
      <c r="H18" s="397"/>
    </row>
    <row r="19" spans="1:8" s="382" customFormat="1" ht="15" customHeight="1">
      <c r="A19" s="382" t="s">
        <v>214</v>
      </c>
      <c r="B19" s="381">
        <f>'[7]Trial Balance'!D398</f>
        <v>3506.25</v>
      </c>
      <c r="C19" s="381">
        <v>0</v>
      </c>
      <c r="D19" s="381">
        <v>0</v>
      </c>
      <c r="E19" s="381">
        <v>0</v>
      </c>
      <c r="F19" s="84">
        <v>0</v>
      </c>
      <c r="G19" s="381">
        <f t="shared" si="1"/>
        <v>3506.25</v>
      </c>
      <c r="H19" s="397"/>
    </row>
    <row r="20" spans="1:7" s="382" customFormat="1" ht="15" customHeight="1">
      <c r="A20" s="382" t="s">
        <v>215</v>
      </c>
      <c r="B20" s="381">
        <f>'Earned Incurred QTD-p5'!C39</f>
        <v>1033694.9499999993</v>
      </c>
      <c r="C20" s="381">
        <v>0</v>
      </c>
      <c r="D20" s="381">
        <v>0</v>
      </c>
      <c r="E20" s="381">
        <v>0</v>
      </c>
      <c r="F20" s="84">
        <v>0</v>
      </c>
      <c r="G20" s="381">
        <f t="shared" si="1"/>
        <v>1033694.9499999993</v>
      </c>
    </row>
    <row r="21" spans="1:7" s="382" customFormat="1" ht="15" customHeight="1">
      <c r="A21" s="382" t="s">
        <v>134</v>
      </c>
      <c r="B21" s="381">
        <v>600</v>
      </c>
      <c r="C21" s="381">
        <v>1200</v>
      </c>
      <c r="D21" s="381">
        <v>0</v>
      </c>
      <c r="E21" s="381">
        <v>0</v>
      </c>
      <c r="F21" s="84">
        <v>0</v>
      </c>
      <c r="G21" s="381">
        <f t="shared" si="1"/>
        <v>1800</v>
      </c>
    </row>
    <row r="22" spans="1:7" s="382" customFormat="1" ht="15" customHeight="1" thickBot="1">
      <c r="A22" s="382" t="s">
        <v>206</v>
      </c>
      <c r="B22" s="383">
        <f aca="true" t="shared" si="2" ref="B22:G22">SUM(B13:B21)</f>
        <v>3331695.889999999</v>
      </c>
      <c r="C22" s="383">
        <f>SUM(C13:C21)-1</f>
        <v>1486502.94</v>
      </c>
      <c r="D22" s="383">
        <f t="shared" si="2"/>
        <v>34155.58</v>
      </c>
      <c r="E22" s="383">
        <f>SUM(E13:E21)</f>
        <v>5135.11</v>
      </c>
      <c r="F22" s="383">
        <f>SUM(F13:F21)</f>
        <v>3739.9</v>
      </c>
      <c r="G22" s="394">
        <f t="shared" si="2"/>
        <v>4861230.419999999</v>
      </c>
    </row>
    <row r="23" spans="2:7" s="382" customFormat="1" ht="15" customHeight="1" thickTop="1">
      <c r="B23" s="381"/>
      <c r="C23" s="381"/>
      <c r="D23" s="381"/>
      <c r="E23" s="381"/>
      <c r="F23" s="381"/>
      <c r="G23" s="381"/>
    </row>
    <row r="24" spans="1:7" s="382" customFormat="1" ht="15" customHeight="1" thickBot="1">
      <c r="A24" s="387" t="s">
        <v>216</v>
      </c>
      <c r="B24" s="388">
        <f>B10-B22</f>
        <v>2099742.5300000007</v>
      </c>
      <c r="C24" s="388">
        <f>C10-C22</f>
        <v>-1505256.94</v>
      </c>
      <c r="D24" s="388">
        <f>D10-D22</f>
        <v>-34641.58</v>
      </c>
      <c r="E24" s="388">
        <f>E10-E22</f>
        <v>-5135.11</v>
      </c>
      <c r="F24" s="388">
        <f>F10-F22</f>
        <v>-3739.9</v>
      </c>
      <c r="G24" s="394">
        <f>SUM(B24:F24)</f>
        <v>550969.0000000008</v>
      </c>
    </row>
    <row r="25" spans="2:7" s="382" customFormat="1" ht="15" customHeight="1" thickTop="1">
      <c r="B25" s="381"/>
      <c r="C25" s="381"/>
      <c r="D25" s="381"/>
      <c r="E25" s="381"/>
      <c r="F25" s="381"/>
      <c r="G25" s="381"/>
    </row>
    <row r="26" spans="1:7" s="382" customFormat="1" ht="15" customHeight="1">
      <c r="A26" s="376" t="s">
        <v>217</v>
      </c>
      <c r="B26" s="384"/>
      <c r="C26" s="384"/>
      <c r="D26" s="384"/>
      <c r="E26" s="384"/>
      <c r="F26" s="384"/>
      <c r="G26" s="381"/>
    </row>
    <row r="27" spans="1:7" s="382" customFormat="1" ht="15" customHeight="1">
      <c r="A27" s="382" t="s">
        <v>218</v>
      </c>
      <c r="B27" s="381">
        <f>'Earned Incurred QTD-p5'!B50</f>
        <v>6721.74</v>
      </c>
      <c r="C27" s="381">
        <v>0</v>
      </c>
      <c r="D27" s="381">
        <v>0</v>
      </c>
      <c r="E27" s="381">
        <v>0</v>
      </c>
      <c r="F27" s="381">
        <v>0</v>
      </c>
      <c r="G27" s="381">
        <f>SUM(B27:F27)</f>
        <v>6721.74</v>
      </c>
    </row>
    <row r="28" spans="1:7" s="382" customFormat="1" ht="15" customHeight="1">
      <c r="A28" s="382" t="s">
        <v>219</v>
      </c>
      <c r="B28" s="381">
        <f>'Balance Sheet-p1'!D17</f>
        <v>234912.12000000002</v>
      </c>
      <c r="C28" s="381">
        <v>0</v>
      </c>
      <c r="D28" s="381">
        <v>0</v>
      </c>
      <c r="E28" s="381">
        <v>0</v>
      </c>
      <c r="F28" s="381">
        <v>0</v>
      </c>
      <c r="G28" s="381">
        <f>SUM(B28:F28)</f>
        <v>234912.12000000002</v>
      </c>
    </row>
    <row r="29" spans="1:7" s="382" customFormat="1" ht="15" customHeight="1" thickBot="1">
      <c r="A29" s="382" t="s">
        <v>206</v>
      </c>
      <c r="B29" s="383">
        <f aca="true" t="shared" si="3" ref="B29:G29">SUM(B27:B28)</f>
        <v>241633.86000000002</v>
      </c>
      <c r="C29" s="383">
        <f t="shared" si="3"/>
        <v>0</v>
      </c>
      <c r="D29" s="383">
        <f t="shared" si="3"/>
        <v>0</v>
      </c>
      <c r="E29" s="383">
        <f t="shared" si="3"/>
        <v>0</v>
      </c>
      <c r="F29" s="383">
        <f t="shared" si="3"/>
        <v>0</v>
      </c>
      <c r="G29" s="394">
        <f t="shared" si="3"/>
        <v>241633.86000000002</v>
      </c>
    </row>
    <row r="30" spans="2:7" s="382" customFormat="1" ht="15" customHeight="1" thickTop="1">
      <c r="B30" s="381"/>
      <c r="C30" s="381"/>
      <c r="D30" s="381"/>
      <c r="E30" s="381"/>
      <c r="F30" s="381"/>
      <c r="G30" s="381"/>
    </row>
    <row r="31" spans="1:7" s="382" customFormat="1" ht="15" customHeight="1">
      <c r="A31" s="376" t="s">
        <v>220</v>
      </c>
      <c r="B31" s="384"/>
      <c r="C31" s="384"/>
      <c r="D31" s="384"/>
      <c r="E31" s="384"/>
      <c r="F31" s="384"/>
      <c r="G31" s="381"/>
    </row>
    <row r="32" spans="1:8" s="382" customFormat="1" ht="15" customHeight="1">
      <c r="A32" s="382" t="s">
        <v>221</v>
      </c>
      <c r="B32" s="381">
        <f>'Earned Incurred QTD-p5'!B49</f>
        <v>8748.01</v>
      </c>
      <c r="C32" s="381">
        <v>0</v>
      </c>
      <c r="D32" s="381">
        <v>0</v>
      </c>
      <c r="E32" s="381">
        <v>0</v>
      </c>
      <c r="F32" s="381">
        <v>0</v>
      </c>
      <c r="G32" s="381">
        <f>SUM(B32:F32)</f>
        <v>8748.01</v>
      </c>
      <c r="H32" s="397"/>
    </row>
    <row r="33" spans="1:8" s="382" customFormat="1" ht="15" customHeight="1">
      <c r="A33" s="382" t="s">
        <v>222</v>
      </c>
      <c r="B33" s="381">
        <f>'[9]Balance Sheet-p1'!$D$17</f>
        <v>249936.05000000005</v>
      </c>
      <c r="C33" s="381">
        <v>0</v>
      </c>
      <c r="D33" s="381">
        <v>0</v>
      </c>
      <c r="E33" s="381">
        <v>0</v>
      </c>
      <c r="F33" s="381">
        <v>0</v>
      </c>
      <c r="G33" s="381">
        <f>SUM(B33:F33)</f>
        <v>249936.05000000005</v>
      </c>
      <c r="H33" s="397"/>
    </row>
    <row r="34" spans="1:8" s="382" customFormat="1" ht="15" customHeight="1">
      <c r="A34" s="382" t="s">
        <v>310</v>
      </c>
      <c r="B34" s="381">
        <f>'Income Statement-p2'!B35</f>
        <v>175827</v>
      </c>
      <c r="C34" s="381">
        <v>0</v>
      </c>
      <c r="D34" s="381">
        <v>0</v>
      </c>
      <c r="E34" s="381">
        <v>0</v>
      </c>
      <c r="F34" s="381">
        <v>0</v>
      </c>
      <c r="G34" s="381">
        <f>SUM(B34:F34)</f>
        <v>175827</v>
      </c>
      <c r="H34" s="397"/>
    </row>
    <row r="35" spans="1:8" s="382" customFormat="1" ht="15" customHeight="1" thickBot="1">
      <c r="A35" s="382" t="s">
        <v>206</v>
      </c>
      <c r="B35" s="383">
        <f aca="true" t="shared" si="4" ref="B35:G35">SUM(B32:B34)</f>
        <v>434511.06000000006</v>
      </c>
      <c r="C35" s="383">
        <f t="shared" si="4"/>
        <v>0</v>
      </c>
      <c r="D35" s="383">
        <f t="shared" si="4"/>
        <v>0</v>
      </c>
      <c r="E35" s="383">
        <f t="shared" si="4"/>
        <v>0</v>
      </c>
      <c r="F35" s="383">
        <f t="shared" si="4"/>
        <v>0</v>
      </c>
      <c r="G35" s="394">
        <f t="shared" si="4"/>
        <v>434511.06000000006</v>
      </c>
      <c r="H35" s="397"/>
    </row>
    <row r="36" spans="2:8" s="382" customFormat="1" ht="15" customHeight="1" thickTop="1">
      <c r="B36" s="381"/>
      <c r="C36" s="381"/>
      <c r="D36" s="381"/>
      <c r="E36" s="381"/>
      <c r="F36" s="381"/>
      <c r="G36" s="389"/>
      <c r="H36" s="397"/>
    </row>
    <row r="37" spans="1:7" s="382" customFormat="1" ht="19.5" customHeight="1" thickBot="1">
      <c r="A37" s="396" t="s">
        <v>223</v>
      </c>
      <c r="B37" s="388">
        <f>B24-B29+B35</f>
        <v>2292619.7300000004</v>
      </c>
      <c r="C37" s="388">
        <f>C24-C29+C35</f>
        <v>-1505256.94</v>
      </c>
      <c r="D37" s="388">
        <f>D24-D29+D35</f>
        <v>-34641.58</v>
      </c>
      <c r="E37" s="388">
        <f>E24-E29+E35</f>
        <v>-5135.11</v>
      </c>
      <c r="F37" s="388">
        <f>F24-F29+F35</f>
        <v>-3739.9</v>
      </c>
      <c r="G37" s="394">
        <f>SUM(B37:F37)</f>
        <v>743846.2000000005</v>
      </c>
    </row>
    <row r="38" spans="2:7" s="382" customFormat="1" ht="15" customHeight="1" thickTop="1">
      <c r="B38" s="381"/>
      <c r="C38" s="381"/>
      <c r="D38" s="381"/>
      <c r="E38" s="381"/>
      <c r="F38" s="381"/>
      <c r="G38" s="381"/>
    </row>
    <row r="39" spans="1:7" s="382" customFormat="1" ht="15" customHeight="1">
      <c r="A39" s="390" t="s">
        <v>136</v>
      </c>
      <c r="B39" s="381"/>
      <c r="C39" s="381"/>
      <c r="D39" s="381"/>
      <c r="E39" s="381"/>
      <c r="F39" s="381"/>
      <c r="G39" s="381"/>
    </row>
    <row r="40" spans="1:7" s="382" customFormat="1" ht="15" customHeight="1">
      <c r="A40" s="382" t="s">
        <v>179</v>
      </c>
      <c r="B40" s="381">
        <f>'Equity YTD-p4'!B40</f>
        <v>10749487</v>
      </c>
      <c r="C40" s="381">
        <f>'Equity YTD-p4'!C40</f>
        <v>0</v>
      </c>
      <c r="D40" s="381">
        <f>'Equity YTD-p4'!D40</f>
        <v>0</v>
      </c>
      <c r="E40" s="381">
        <f>'Equity YTD-p4'!E40</f>
        <v>0</v>
      </c>
      <c r="F40" s="381">
        <f>'Equity YTD-p4'!F40</f>
        <v>0</v>
      </c>
      <c r="G40" s="381">
        <f>SUM(B40:F40)</f>
        <v>10749487</v>
      </c>
    </row>
    <row r="41" spans="1:7" s="382" customFormat="1" ht="15" customHeight="1">
      <c r="A41" s="382" t="s">
        <v>224</v>
      </c>
      <c r="B41" s="381">
        <f>'Equity YTD-p4'!B41</f>
        <v>5008777</v>
      </c>
      <c r="C41" s="381">
        <f>'Equity YTD-p4'!C41</f>
        <v>1978508.76</v>
      </c>
      <c r="D41" s="381">
        <f>'Equity YTD-p4'!D41</f>
        <v>94531</v>
      </c>
      <c r="E41" s="381">
        <f>'Equity YTD-p4'!E41</f>
        <v>133700</v>
      </c>
      <c r="F41" s="381">
        <f>'Equity YTD-p4'!F41</f>
        <v>25029</v>
      </c>
      <c r="G41" s="381">
        <f>SUM(B41:F41)</f>
        <v>7240545.76</v>
      </c>
    </row>
    <row r="42" spans="1:7" s="382" customFormat="1" ht="15" customHeight="1">
      <c r="A42" s="382" t="s">
        <v>225</v>
      </c>
      <c r="B42" s="381">
        <f>'Equity YTD-p4'!B42</f>
        <v>434423.23000000004</v>
      </c>
      <c r="C42" s="381">
        <f>'Equity YTD-p4'!C42</f>
        <v>250677.06</v>
      </c>
      <c r="D42" s="381">
        <f>'Equity YTD-p4'!D42</f>
        <v>11977.07</v>
      </c>
      <c r="E42" s="381">
        <f>'Equity YTD-p4'!E42</f>
        <v>16939.79</v>
      </c>
      <c r="F42" s="381">
        <f>'Equity YTD-p4'!F42</f>
        <v>3171.1700000000005</v>
      </c>
      <c r="G42" s="381">
        <f>SUM(B42:F42)</f>
        <v>717188.3200000001</v>
      </c>
    </row>
    <row r="43" spans="1:7" s="382" customFormat="1" ht="15" customHeight="1">
      <c r="A43" s="382" t="s">
        <v>226</v>
      </c>
      <c r="B43" s="381">
        <f>'Equity YTD-p4'!B43</f>
        <v>293447.56</v>
      </c>
      <c r="C43" s="381">
        <f>'Equity YTD-p4'!C43</f>
        <v>0</v>
      </c>
      <c r="D43" s="381">
        <f>'Equity YTD-p4'!D43</f>
        <v>0</v>
      </c>
      <c r="E43" s="381">
        <f>'Equity YTD-p4'!E43</f>
        <v>0</v>
      </c>
      <c r="F43" s="84">
        <f>'Equity YTD-p4'!F43</f>
        <v>0</v>
      </c>
      <c r="G43" s="381">
        <f>SUM(B43:F43)</f>
        <v>293447.56</v>
      </c>
    </row>
    <row r="44" spans="1:7" s="382" customFormat="1" ht="15" customHeight="1">
      <c r="A44" s="382" t="s">
        <v>227</v>
      </c>
      <c r="B44" s="381">
        <f>'Equity YTD-p4'!B44</f>
        <v>61134.57</v>
      </c>
      <c r="C44" s="381">
        <f>'Equity YTD-p4'!C44</f>
        <v>0</v>
      </c>
      <c r="D44" s="381">
        <f>'Equity YTD-p4'!D44</f>
        <v>0</v>
      </c>
      <c r="E44" s="381">
        <f>'Equity YTD-p4'!E44</f>
        <v>0</v>
      </c>
      <c r="F44" s="84">
        <f>'Equity YTD-p4'!F44</f>
        <v>0</v>
      </c>
      <c r="G44" s="381">
        <f>SUM(B44:F44)</f>
        <v>61134.57</v>
      </c>
    </row>
    <row r="45" spans="1:7" s="382" customFormat="1" ht="15" customHeight="1" thickBot="1">
      <c r="A45" s="379" t="s">
        <v>206</v>
      </c>
      <c r="B45" s="383">
        <f>SUM(B40:B44)+1</f>
        <v>16547270.360000001</v>
      </c>
      <c r="C45" s="383">
        <f>SUM(C40:C44)</f>
        <v>2229185.82</v>
      </c>
      <c r="D45" s="383">
        <f>SUM(D40:D44)</f>
        <v>106508.07</v>
      </c>
      <c r="E45" s="383">
        <f>SUM(E40:E44)</f>
        <v>150639.79</v>
      </c>
      <c r="F45" s="383">
        <f>SUM(F40:F44)</f>
        <v>28200.170000000002</v>
      </c>
      <c r="G45" s="394">
        <f>SUM(G40:G44)</f>
        <v>19061803.209999997</v>
      </c>
    </row>
    <row r="46" spans="2:7" s="382" customFormat="1" ht="15" customHeight="1" thickTop="1">
      <c r="B46" s="381"/>
      <c r="C46" s="381"/>
      <c r="D46" s="381"/>
      <c r="E46" s="381"/>
      <c r="F46" s="381"/>
      <c r="G46" s="381"/>
    </row>
    <row r="47" spans="1:7" s="382" customFormat="1" ht="15" customHeight="1">
      <c r="A47" s="390" t="s">
        <v>137</v>
      </c>
      <c r="B47" s="391"/>
      <c r="C47" s="391"/>
      <c r="D47" s="391"/>
      <c r="E47" s="391"/>
      <c r="F47" s="381"/>
      <c r="G47" s="381"/>
    </row>
    <row r="48" spans="1:7" s="382" customFormat="1" ht="15" customHeight="1">
      <c r="A48" s="382" t="s">
        <v>179</v>
      </c>
      <c r="B48" s="381">
        <f>+'Premiums QTD-p7'!B23</f>
        <v>10049767</v>
      </c>
      <c r="C48" s="381">
        <f>+'Premiums QTD-p7'!C23</f>
        <v>557124</v>
      </c>
      <c r="D48" s="381">
        <f>+'Premiums QTD-p7'!D23</f>
        <v>0</v>
      </c>
      <c r="E48" s="381">
        <f>+'Premiums QTD-p7'!E23</f>
        <v>0</v>
      </c>
      <c r="F48" s="381">
        <f>+'Premiums QTD-p7'!F23</f>
        <v>0</v>
      </c>
      <c r="G48" s="381">
        <f aca="true" t="shared" si="5" ref="G48:G53">SUM(B48:F48)</f>
        <v>10606891</v>
      </c>
    </row>
    <row r="49" spans="1:7" s="382" customFormat="1" ht="15" customHeight="1">
      <c r="A49" s="382" t="s">
        <v>224</v>
      </c>
      <c r="B49" s="381">
        <f>+'Losses Incurred QTD-p9'!B24</f>
        <v>3022800.95</v>
      </c>
      <c r="C49" s="381">
        <f>+'Losses Incurred QTD-p9'!C24</f>
        <v>2954984.33</v>
      </c>
      <c r="D49" s="381">
        <f>+'Losses Incurred QTD-p9'!D24</f>
        <v>138046</v>
      </c>
      <c r="E49" s="381">
        <f>+'Losses Incurred QTD-p9'!E24</f>
        <v>90527</v>
      </c>
      <c r="F49" s="381">
        <f>+'Losses Incurred QTD-p9'!F24</f>
        <v>27655</v>
      </c>
      <c r="G49" s="381">
        <f t="shared" si="5"/>
        <v>6234013.28</v>
      </c>
    </row>
    <row r="50" spans="1:7" s="382" customFormat="1" ht="15" customHeight="1">
      <c r="A50" s="382" t="s">
        <v>228</v>
      </c>
      <c r="B50" s="381">
        <f>+'Loss Expenses QTD-p11'!B24</f>
        <v>204855.69</v>
      </c>
      <c r="C50" s="381">
        <f>+'Loss Expenses QTD-p11'!C24</f>
        <v>291363.99999999994</v>
      </c>
      <c r="D50" s="381">
        <f>+'Loss Expenses QTD-p11'!D24</f>
        <v>15358.02</v>
      </c>
      <c r="E50" s="381">
        <f>+'Loss Expenses QTD-p11'!E24</f>
        <v>10070.58</v>
      </c>
      <c r="F50" s="381">
        <f>+'Loss Expenses QTD-p11'!F24</f>
        <v>3075.8600000000006</v>
      </c>
      <c r="G50" s="381">
        <f t="shared" si="5"/>
        <v>524724.15</v>
      </c>
    </row>
    <row r="51" spans="1:7" s="382" customFormat="1" ht="15" customHeight="1">
      <c r="A51" s="382" t="s">
        <v>226</v>
      </c>
      <c r="B51" s="381">
        <f>+'Earned Incurred QTD-p5'!B42</f>
        <v>305437.57999999996</v>
      </c>
      <c r="C51" s="381">
        <v>0</v>
      </c>
      <c r="D51" s="381">
        <v>0</v>
      </c>
      <c r="E51" s="381">
        <v>0</v>
      </c>
      <c r="F51" s="381">
        <v>0</v>
      </c>
      <c r="G51" s="381">
        <f t="shared" si="5"/>
        <v>305437.57999999996</v>
      </c>
    </row>
    <row r="52" spans="1:7" s="382" customFormat="1" ht="15" customHeight="1">
      <c r="A52" s="382" t="s">
        <v>227</v>
      </c>
      <c r="B52" s="381">
        <f>+'Earned Incurred QTD-p5'!B34</f>
        <v>42827.65</v>
      </c>
      <c r="C52" s="381">
        <v>0</v>
      </c>
      <c r="D52" s="381">
        <v>0</v>
      </c>
      <c r="E52" s="381">
        <v>0</v>
      </c>
      <c r="F52" s="381">
        <v>0</v>
      </c>
      <c r="G52" s="381">
        <f t="shared" si="5"/>
        <v>42827.65</v>
      </c>
    </row>
    <row r="53" spans="1:7" s="382" customFormat="1" ht="15" customHeight="1" thickBot="1">
      <c r="A53" s="382" t="s">
        <v>206</v>
      </c>
      <c r="B53" s="383">
        <f>SUM(B48:B52)+1</f>
        <v>13625689.87</v>
      </c>
      <c r="C53" s="383">
        <f>SUM(C48:C52)</f>
        <v>3803472.33</v>
      </c>
      <c r="D53" s="383">
        <f>SUM(D48:D52)</f>
        <v>153404.02</v>
      </c>
      <c r="E53" s="383">
        <f>SUM(E48:E52)</f>
        <v>100597.58</v>
      </c>
      <c r="F53" s="383">
        <f>SUM(F48:F52)</f>
        <v>30730.86</v>
      </c>
      <c r="G53" s="394">
        <f t="shared" si="5"/>
        <v>17713894.659999996</v>
      </c>
    </row>
    <row r="54" spans="2:8" s="382" customFormat="1" ht="15" customHeight="1" thickTop="1">
      <c r="B54" s="392"/>
      <c r="C54" s="392"/>
      <c r="D54" s="392"/>
      <c r="E54" s="392"/>
      <c r="F54" s="84"/>
      <c r="H54" s="84"/>
    </row>
    <row r="55" spans="1:8" s="382" customFormat="1" ht="15" customHeight="1" thickBot="1">
      <c r="A55" s="387" t="s">
        <v>229</v>
      </c>
      <c r="B55" s="419">
        <f>B37-B45+B53</f>
        <v>-628960.7600000016</v>
      </c>
      <c r="C55" s="419">
        <f>C37-C45+C53</f>
        <v>69029.5700000003</v>
      </c>
      <c r="D55" s="419">
        <f>D37-D45+D53</f>
        <v>12254.369999999966</v>
      </c>
      <c r="E55" s="419">
        <f>E37-E45+E53</f>
        <v>-55177.31999999999</v>
      </c>
      <c r="F55" s="419">
        <f>F37-F45+F53</f>
        <v>-1209.2100000000028</v>
      </c>
      <c r="G55" s="419">
        <f>SUM(B55:F55)</f>
        <v>-604063.3500000013</v>
      </c>
      <c r="H55" s="397"/>
    </row>
    <row r="56" spans="2:7" s="382" customFormat="1" ht="15" customHeight="1" thickTop="1">
      <c r="B56" s="397"/>
      <c r="C56" s="392"/>
      <c r="D56" s="392"/>
      <c r="E56" s="392"/>
      <c r="F56" s="84"/>
      <c r="G56" s="84"/>
    </row>
    <row r="57" spans="2:7" s="382" customFormat="1" ht="15" customHeight="1">
      <c r="B57" s="397"/>
      <c r="C57" s="392"/>
      <c r="D57" s="392"/>
      <c r="E57" s="392"/>
      <c r="F57" s="84"/>
      <c r="G57" s="84"/>
    </row>
    <row r="58" spans="2:7" s="382" customFormat="1" ht="15" customHeight="1">
      <c r="B58" s="397"/>
      <c r="C58" s="392"/>
      <c r="D58" s="392"/>
      <c r="E58" s="392"/>
      <c r="F58" s="84"/>
      <c r="G58" s="84"/>
    </row>
    <row r="59" spans="2:7" s="382" customFormat="1" ht="15" customHeight="1">
      <c r="B59" s="397"/>
      <c r="C59" s="392"/>
      <c r="D59" s="392"/>
      <c r="E59" s="392"/>
      <c r="F59" s="84"/>
      <c r="G59" s="84"/>
    </row>
    <row r="60" spans="2:7" s="382" customFormat="1" ht="15" customHeight="1">
      <c r="B60" s="397"/>
      <c r="C60" s="392"/>
      <c r="D60" s="392"/>
      <c r="E60" s="392"/>
      <c r="F60" s="84"/>
      <c r="G60" s="84"/>
    </row>
    <row r="61" spans="2:7" s="382" customFormat="1" ht="15" customHeight="1">
      <c r="B61" s="397"/>
      <c r="C61" s="392"/>
      <c r="D61" s="392"/>
      <c r="E61" s="392"/>
      <c r="F61" s="84"/>
      <c r="G61" s="84"/>
    </row>
    <row r="62" spans="2:7" s="382" customFormat="1" ht="15" customHeight="1">
      <c r="B62" s="397"/>
      <c r="C62" s="392"/>
      <c r="D62" s="392"/>
      <c r="E62" s="392"/>
      <c r="F62" s="84"/>
      <c r="G62" s="84"/>
    </row>
    <row r="63" spans="2:7" s="382" customFormat="1" ht="15" customHeight="1">
      <c r="B63" s="397"/>
      <c r="C63" s="392"/>
      <c r="D63" s="392"/>
      <c r="E63" s="392"/>
      <c r="F63" s="84"/>
      <c r="G63" s="84"/>
    </row>
    <row r="64" spans="2:7" s="382" customFormat="1" ht="15" customHeight="1">
      <c r="B64" s="397"/>
      <c r="C64" s="392"/>
      <c r="D64" s="392"/>
      <c r="E64" s="392"/>
      <c r="F64" s="84"/>
      <c r="G64" s="84"/>
    </row>
    <row r="65" spans="2:7" s="382" customFormat="1" ht="15" customHeight="1">
      <c r="B65" s="397"/>
      <c r="C65" s="392"/>
      <c r="D65" s="392"/>
      <c r="E65" s="392"/>
      <c r="F65" s="84"/>
      <c r="G65" s="84"/>
    </row>
    <row r="66" spans="2:7" s="382" customFormat="1" ht="15" customHeight="1">
      <c r="B66" s="397"/>
      <c r="C66" s="392"/>
      <c r="D66" s="392"/>
      <c r="E66" s="392"/>
      <c r="F66" s="84"/>
      <c r="G66" s="84"/>
    </row>
    <row r="67" spans="2:7" s="382" customFormat="1" ht="15" customHeight="1">
      <c r="B67" s="397"/>
      <c r="C67" s="392"/>
      <c r="D67" s="392"/>
      <c r="E67" s="392"/>
      <c r="F67" s="84"/>
      <c r="G67" s="84"/>
    </row>
    <row r="68" spans="2:7" s="382" customFormat="1" ht="15" customHeight="1">
      <c r="B68" s="397"/>
      <c r="C68" s="392"/>
      <c r="D68" s="392"/>
      <c r="E68" s="392"/>
      <c r="F68" s="84"/>
      <c r="G68" s="84"/>
    </row>
  </sheetData>
  <mergeCells count="4">
    <mergeCell ref="A1:G1"/>
    <mergeCell ref="A2:G2"/>
    <mergeCell ref="A3:G3"/>
    <mergeCell ref="A4:G4"/>
  </mergeCells>
  <printOptions horizontalCentered="1"/>
  <pageMargins left="0.25" right="0.25" top="0.75" bottom="0.5" header="0.5" footer="0"/>
  <pageSetup horizontalDpi="300" verticalDpi="300" orientation="portrait" scale="75" r:id="rId1"/>
  <headerFooter alignWithMargins="0">
    <oddFooter>&amp;CPage 3
</oddFooter>
  </headerFooter>
</worksheet>
</file>

<file path=xl/worksheets/sheet5.xml><?xml version="1.0" encoding="utf-8"?>
<worksheet xmlns="http://schemas.openxmlformats.org/spreadsheetml/2006/main" xmlns:r="http://schemas.openxmlformats.org/officeDocument/2006/relationships">
  <dimension ref="A1:H58"/>
  <sheetViews>
    <sheetView workbookViewId="0" topLeftCell="A7">
      <selection activeCell="A1" sqref="A1:G1"/>
    </sheetView>
  </sheetViews>
  <sheetFormatPr defaultColWidth="9.140625" defaultRowHeight="12.75"/>
  <cols>
    <col min="1" max="1" width="41.421875" style="29" customWidth="1"/>
    <col min="2" max="5" width="15.7109375" style="216" customWidth="1"/>
    <col min="6" max="7" width="15.7109375" style="218" customWidth="1"/>
    <col min="8" max="8" width="16.00390625" style="29" customWidth="1"/>
    <col min="9" max="16384" width="9.140625" style="29" customWidth="1"/>
  </cols>
  <sheetData>
    <row r="1" spans="1:7" s="94" customFormat="1" ht="25.5">
      <c r="A1" s="512" t="s">
        <v>166</v>
      </c>
      <c r="B1" s="512"/>
      <c r="C1" s="512"/>
      <c r="D1" s="512"/>
      <c r="E1" s="512"/>
      <c r="F1" s="512"/>
      <c r="G1" s="512"/>
    </row>
    <row r="2" spans="1:7" s="26" customFormat="1" ht="18.75">
      <c r="A2" s="504"/>
      <c r="B2" s="504"/>
      <c r="C2" s="504"/>
      <c r="D2" s="504"/>
      <c r="E2" s="504"/>
      <c r="F2" s="504"/>
      <c r="G2" s="504"/>
    </row>
    <row r="3" spans="1:7" s="374" customFormat="1" ht="15.75">
      <c r="A3" s="513" t="s">
        <v>201</v>
      </c>
      <c r="B3" s="513"/>
      <c r="C3" s="513"/>
      <c r="D3" s="513"/>
      <c r="E3" s="513"/>
      <c r="F3" s="513"/>
      <c r="G3" s="513"/>
    </row>
    <row r="4" spans="1:7" s="374" customFormat="1" ht="15.75">
      <c r="A4" s="513" t="s">
        <v>295</v>
      </c>
      <c r="B4" s="513"/>
      <c r="C4" s="513"/>
      <c r="D4" s="513"/>
      <c r="E4" s="513"/>
      <c r="F4" s="513"/>
      <c r="G4" s="513"/>
    </row>
    <row r="5" spans="1:7" s="28" customFormat="1" ht="18.75">
      <c r="A5" s="27"/>
      <c r="B5" s="215"/>
      <c r="C5" s="215"/>
      <c r="D5" s="215"/>
      <c r="E5" s="215"/>
      <c r="F5" s="195"/>
      <c r="G5" s="217"/>
    </row>
    <row r="6" spans="2:7" s="375" customFormat="1" ht="30" customHeight="1">
      <c r="B6" s="417" t="s">
        <v>32</v>
      </c>
      <c r="C6" s="417" t="s">
        <v>33</v>
      </c>
      <c r="D6" s="417" t="s">
        <v>139</v>
      </c>
      <c r="E6" s="417" t="s">
        <v>154</v>
      </c>
      <c r="F6" s="417" t="s">
        <v>131</v>
      </c>
      <c r="G6" s="439" t="s">
        <v>167</v>
      </c>
    </row>
    <row r="7" spans="1:7" s="379" customFormat="1" ht="15" customHeight="1">
      <c r="A7" s="376" t="s">
        <v>203</v>
      </c>
      <c r="B7" s="377"/>
      <c r="C7" s="377"/>
      <c r="D7" s="377"/>
      <c r="E7" s="377"/>
      <c r="F7" s="377"/>
      <c r="G7" s="378"/>
    </row>
    <row r="8" spans="1:7" s="382" customFormat="1" ht="15" customHeight="1">
      <c r="A8" s="380" t="s">
        <v>204</v>
      </c>
      <c r="B8" s="418">
        <f>'Premiums YTD-p8'!B11</f>
        <v>21279081</v>
      </c>
      <c r="C8" s="418">
        <f>'Premiums YTD-p8'!C11</f>
        <v>-126561</v>
      </c>
      <c r="D8" s="418">
        <f>'Premiums YTD-p8'!D11</f>
        <v>-5043</v>
      </c>
      <c r="E8" s="418">
        <f>'Premiums YTD-p8'!E11</f>
        <v>88</v>
      </c>
      <c r="F8" s="381">
        <f>'Premiums YTD-p8'!F11</f>
        <v>0</v>
      </c>
      <c r="G8" s="418">
        <f>SUM(B8:F8)</f>
        <v>21147565</v>
      </c>
    </row>
    <row r="9" spans="1:7" s="382" customFormat="1" ht="15" customHeight="1">
      <c r="A9" s="380" t="s">
        <v>205</v>
      </c>
      <c r="B9" s="381">
        <f>'Earned Incurred YTD-p6'!C48</f>
        <v>125505.29999999999</v>
      </c>
      <c r="C9" s="381">
        <f>'Earned Incurred YTD-p6'!D48</f>
        <v>0</v>
      </c>
      <c r="D9" s="381">
        <v>0</v>
      </c>
      <c r="E9" s="381">
        <v>0</v>
      </c>
      <c r="F9" s="381">
        <v>0</v>
      </c>
      <c r="G9" s="381">
        <f>SUM(B9:F9)</f>
        <v>125505.29999999999</v>
      </c>
    </row>
    <row r="10" spans="1:7" s="382" customFormat="1" ht="15" customHeight="1" thickBot="1">
      <c r="A10" s="382" t="s">
        <v>206</v>
      </c>
      <c r="B10" s="383">
        <f aca="true" t="shared" si="0" ref="B10:G10">SUM(B8:B9)</f>
        <v>21404586.3</v>
      </c>
      <c r="C10" s="383">
        <f t="shared" si="0"/>
        <v>-126561</v>
      </c>
      <c r="D10" s="383">
        <f t="shared" si="0"/>
        <v>-5043</v>
      </c>
      <c r="E10" s="383">
        <f t="shared" si="0"/>
        <v>88</v>
      </c>
      <c r="F10" s="383">
        <f t="shared" si="0"/>
        <v>0</v>
      </c>
      <c r="G10" s="394">
        <f t="shared" si="0"/>
        <v>21273070.3</v>
      </c>
    </row>
    <row r="11" spans="2:7" s="382" customFormat="1" ht="15" customHeight="1" thickTop="1">
      <c r="B11" s="381"/>
      <c r="C11" s="381"/>
      <c r="D11" s="381"/>
      <c r="E11" s="381"/>
      <c r="F11" s="381"/>
      <c r="G11" s="381"/>
    </row>
    <row r="12" spans="1:7" s="382" customFormat="1" ht="15" customHeight="1">
      <c r="A12" s="376" t="s">
        <v>207</v>
      </c>
      <c r="B12" s="384"/>
      <c r="C12" s="384"/>
      <c r="D12" s="384"/>
      <c r="E12" s="384"/>
      <c r="F12" s="384"/>
      <c r="G12" s="381"/>
    </row>
    <row r="13" spans="1:7" s="382" customFormat="1" ht="15" customHeight="1">
      <c r="A13" s="382" t="s">
        <v>208</v>
      </c>
      <c r="B13" s="381">
        <f>+'Losses Incurred YTD-p10'!B12</f>
        <v>2288763.32</v>
      </c>
      <c r="C13" s="381">
        <f>+'Losses Incurred YTD-p10'!C12</f>
        <v>9459630.09</v>
      </c>
      <c r="D13" s="381">
        <f>+'Losses Incurred YTD-p10'!D12</f>
        <v>562161.48</v>
      </c>
      <c r="E13" s="381">
        <f>+'Losses Incurred YTD-p10'!E12</f>
        <v>63833.98</v>
      </c>
      <c r="F13" s="381">
        <f>'Losses Incurred YTD-p10'!F12</f>
        <v>-103605.66</v>
      </c>
      <c r="G13" s="381">
        <f>SUM(B13:F13)</f>
        <v>12270783.21</v>
      </c>
    </row>
    <row r="14" spans="1:7" s="382" customFormat="1" ht="15" customHeight="1">
      <c r="A14" s="382" t="s">
        <v>209</v>
      </c>
      <c r="B14" s="381">
        <f>'[7]Loss Expenses Paid YTD-p17'!C37</f>
        <v>256945.95</v>
      </c>
      <c r="C14" s="381">
        <f>'[7]Loss Expenses Paid YTD-p17'!C31</f>
        <v>686153.1099999999</v>
      </c>
      <c r="D14" s="381">
        <f>'[7]Loss Expenses Paid YTD-p17'!C25</f>
        <v>93007.70999999999</v>
      </c>
      <c r="E14" s="381">
        <f>'[7]Loss Expenses Paid YTD-p17'!C19</f>
        <v>10645.67</v>
      </c>
      <c r="F14" s="381">
        <f>'[7]Loss Expenses Paid YTD-p17'!C13</f>
        <v>28658.149999999998</v>
      </c>
      <c r="G14" s="381">
        <f aca="true" t="shared" si="1" ref="G14:G21">SUM(B14:F14)</f>
        <v>1075410.5899999999</v>
      </c>
    </row>
    <row r="15" spans="1:8" s="382" customFormat="1" ht="15" customHeight="1">
      <c r="A15" s="382" t="s">
        <v>210</v>
      </c>
      <c r="B15" s="381">
        <f>'[7]Loss Expenses Paid YTD-p17'!I37</f>
        <v>106954.93</v>
      </c>
      <c r="C15" s="381">
        <f>'[7]Loss Expenses Paid YTD-p17'!I31</f>
        <v>364832.61</v>
      </c>
      <c r="D15" s="381">
        <f>'[7]Loss Expenses Paid YTD-p17'!I25</f>
        <v>21622.09</v>
      </c>
      <c r="E15" s="381">
        <f>'[7]Loss Expenses Paid YTD-p17'!I19</f>
        <v>2190.18</v>
      </c>
      <c r="F15" s="381">
        <f>'[7]Loss Expenses Paid YTD-p17'!I13</f>
        <v>-212.42000000000002</v>
      </c>
      <c r="G15" s="381">
        <f t="shared" si="1"/>
        <v>495387.39</v>
      </c>
      <c r="H15" s="397"/>
    </row>
    <row r="16" spans="1:7" s="382" customFormat="1" ht="15" customHeight="1">
      <c r="A16" s="382" t="s">
        <v>211</v>
      </c>
      <c r="B16" s="381">
        <f>'[7]Trial Balance'!F396</f>
        <v>29983.77</v>
      </c>
      <c r="C16" s="381">
        <v>0</v>
      </c>
      <c r="D16" s="381">
        <v>0</v>
      </c>
      <c r="E16" s="381">
        <v>0</v>
      </c>
      <c r="F16" s="84">
        <v>0</v>
      </c>
      <c r="G16" s="381">
        <f t="shared" si="1"/>
        <v>29983.77</v>
      </c>
    </row>
    <row r="17" spans="1:8" s="382" customFormat="1" ht="15" customHeight="1">
      <c r="A17" s="385" t="s">
        <v>212</v>
      </c>
      <c r="B17" s="381">
        <f>'[7]Trial Balance'!F406</f>
        <v>336128.95</v>
      </c>
      <c r="C17" s="381">
        <v>0</v>
      </c>
      <c r="D17" s="381">
        <v>0</v>
      </c>
      <c r="E17" s="381">
        <v>0</v>
      </c>
      <c r="F17" s="381">
        <v>0</v>
      </c>
      <c r="G17" s="381">
        <f t="shared" si="1"/>
        <v>336128.95</v>
      </c>
      <c r="H17" s="397"/>
    </row>
    <row r="18" spans="1:7" s="382" customFormat="1" ht="15" customHeight="1">
      <c r="A18" s="385" t="s">
        <v>213</v>
      </c>
      <c r="B18" s="381">
        <f>'[7]Trial Balance'!E370+'[7]Trial Balance'!E375+'[7]Trial Balance'!E378+'[7]Trial Balance'!E383+'[7]Trial Balance'!E387+'[7]Trial Balance'!E390</f>
        <v>1902723.6999999997</v>
      </c>
      <c r="C18" s="381">
        <f>'[7]Trial Balance'!E369+'[7]Trial Balance'!E374+'[7]Trial Balance'!E377+'[7]Trial Balance'!E382+'[7]Trial Balance'!E386+'[7]Trial Balance'!E389</f>
        <v>-11369.600000000002</v>
      </c>
      <c r="D18" s="381">
        <f>'[7]Trial Balance'!E368+'[7]Trial Balance'!E373+'[7]Trial Balance'!E381+'[7]Trial Balance'!E385+9</f>
        <v>-446.7</v>
      </c>
      <c r="E18" s="381">
        <v>0</v>
      </c>
      <c r="F18" s="381">
        <v>0</v>
      </c>
      <c r="G18" s="381">
        <f t="shared" si="1"/>
        <v>1890907.3999999997</v>
      </c>
    </row>
    <row r="19" spans="1:8" s="382" customFormat="1" ht="15" customHeight="1">
      <c r="A19" s="382" t="s">
        <v>214</v>
      </c>
      <c r="B19" s="381">
        <f>'[7]Trial Balance'!F398</f>
        <v>15262.5</v>
      </c>
      <c r="C19" s="381">
        <v>0</v>
      </c>
      <c r="D19" s="381">
        <v>0</v>
      </c>
      <c r="E19" s="381">
        <v>0</v>
      </c>
      <c r="F19" s="84">
        <v>0</v>
      </c>
      <c r="G19" s="381">
        <f t="shared" si="1"/>
        <v>15262.5</v>
      </c>
      <c r="H19" s="397"/>
    </row>
    <row r="20" spans="1:7" s="382" customFormat="1" ht="15" customHeight="1">
      <c r="A20" s="382" t="s">
        <v>215</v>
      </c>
      <c r="B20" s="381">
        <f>'Earned Incurred YTD-p6'!C39</f>
        <v>3964538.5699999975</v>
      </c>
      <c r="C20" s="381">
        <v>0</v>
      </c>
      <c r="D20" s="381">
        <v>0</v>
      </c>
      <c r="E20" s="381">
        <v>0</v>
      </c>
      <c r="F20" s="84">
        <v>0</v>
      </c>
      <c r="G20" s="381">
        <f t="shared" si="1"/>
        <v>3964538.5699999975</v>
      </c>
    </row>
    <row r="21" spans="1:7" s="382" customFormat="1" ht="15" customHeight="1">
      <c r="A21" s="382" t="s">
        <v>180</v>
      </c>
      <c r="B21" s="381">
        <f>23108.63+20347.1+10350+600</f>
        <v>54405.729999999996</v>
      </c>
      <c r="C21" s="381">
        <f>20700+6478.27+1200</f>
        <v>28378.27</v>
      </c>
      <c r="D21" s="381">
        <v>0</v>
      </c>
      <c r="E21" s="386">
        <v>0</v>
      </c>
      <c r="F21" s="84">
        <v>0</v>
      </c>
      <c r="G21" s="381">
        <f t="shared" si="1"/>
        <v>82784</v>
      </c>
    </row>
    <row r="22" spans="1:7" s="382" customFormat="1" ht="15" customHeight="1" thickBot="1">
      <c r="A22" s="382" t="s">
        <v>206</v>
      </c>
      <c r="B22" s="383">
        <f aca="true" t="shared" si="2" ref="B22:G22">SUM(B13:B21)</f>
        <v>8955707.419999998</v>
      </c>
      <c r="C22" s="383">
        <f>SUM(C13:C21)</f>
        <v>10527624.479999999</v>
      </c>
      <c r="D22" s="383">
        <f>SUM(D13:D21)-1</f>
        <v>676343.58</v>
      </c>
      <c r="E22" s="383">
        <f t="shared" si="2"/>
        <v>76669.83</v>
      </c>
      <c r="F22" s="383">
        <f>SUM(F13:F21)</f>
        <v>-75159.93000000001</v>
      </c>
      <c r="G22" s="394">
        <f t="shared" si="2"/>
        <v>20161186.38</v>
      </c>
    </row>
    <row r="23" spans="2:7" s="382" customFormat="1" ht="15" customHeight="1" thickTop="1">
      <c r="B23" s="381"/>
      <c r="C23" s="381"/>
      <c r="D23" s="381"/>
      <c r="E23" s="381"/>
      <c r="F23" s="381"/>
      <c r="G23" s="381"/>
    </row>
    <row r="24" spans="1:7" s="382" customFormat="1" ht="15" customHeight="1" thickBot="1">
      <c r="A24" s="387" t="s">
        <v>216</v>
      </c>
      <c r="B24" s="388">
        <f aca="true" t="shared" si="3" ref="B24:G24">B10-B22</f>
        <v>12448878.880000003</v>
      </c>
      <c r="C24" s="388">
        <f>C10-C22</f>
        <v>-10654185.479999999</v>
      </c>
      <c r="D24" s="388">
        <f t="shared" si="3"/>
        <v>-681386.58</v>
      </c>
      <c r="E24" s="388">
        <f t="shared" si="3"/>
        <v>-76581.83</v>
      </c>
      <c r="F24" s="388">
        <f t="shared" si="3"/>
        <v>75159.93000000001</v>
      </c>
      <c r="G24" s="394">
        <f t="shared" si="3"/>
        <v>1111883.9200000018</v>
      </c>
    </row>
    <row r="25" spans="2:7" s="382" customFormat="1" ht="15" customHeight="1" thickTop="1">
      <c r="B25" s="381"/>
      <c r="C25" s="381"/>
      <c r="D25" s="381"/>
      <c r="E25" s="381"/>
      <c r="F25" s="381"/>
      <c r="G25" s="381"/>
    </row>
    <row r="26" spans="1:7" s="382" customFormat="1" ht="15" customHeight="1">
      <c r="A26" s="376" t="s">
        <v>217</v>
      </c>
      <c r="B26" s="384"/>
      <c r="C26" s="384"/>
      <c r="D26" s="384"/>
      <c r="E26" s="384"/>
      <c r="F26" s="384"/>
      <c r="G26" s="381"/>
    </row>
    <row r="27" spans="1:7" s="382" customFormat="1" ht="15" customHeight="1">
      <c r="A27" s="382" t="s">
        <v>218</v>
      </c>
      <c r="B27" s="381">
        <v>0</v>
      </c>
      <c r="C27" s="381">
        <f>'Earned Incurred YTD-p6'!B50</f>
        <v>17083.95</v>
      </c>
      <c r="D27" s="381">
        <v>0</v>
      </c>
      <c r="E27" s="381">
        <v>0</v>
      </c>
      <c r="F27" s="381">
        <v>0</v>
      </c>
      <c r="G27" s="381">
        <f>SUM(B27:F27)</f>
        <v>17083.95</v>
      </c>
    </row>
    <row r="28" spans="1:7" s="382" customFormat="1" ht="15" customHeight="1">
      <c r="A28" s="382" t="s">
        <v>219</v>
      </c>
      <c r="B28" s="381">
        <f>'Balance Sheet-p1'!D17</f>
        <v>234912.12000000002</v>
      </c>
      <c r="C28" s="381">
        <v>0</v>
      </c>
      <c r="D28" s="381">
        <v>0</v>
      </c>
      <c r="E28" s="381">
        <v>0</v>
      </c>
      <c r="F28" s="381">
        <v>0</v>
      </c>
      <c r="G28" s="381">
        <f>SUM(B28:F28)</f>
        <v>234912.12000000002</v>
      </c>
    </row>
    <row r="29" spans="1:7" s="382" customFormat="1" ht="15" customHeight="1" thickBot="1">
      <c r="A29" s="382" t="s">
        <v>206</v>
      </c>
      <c r="B29" s="383">
        <f aca="true" t="shared" si="4" ref="B29:G29">SUM(B27:B28)</f>
        <v>234912.12000000002</v>
      </c>
      <c r="C29" s="383">
        <f t="shared" si="4"/>
        <v>17083.95</v>
      </c>
      <c r="D29" s="383">
        <f t="shared" si="4"/>
        <v>0</v>
      </c>
      <c r="E29" s="383">
        <f t="shared" si="4"/>
        <v>0</v>
      </c>
      <c r="F29" s="383">
        <f t="shared" si="4"/>
        <v>0</v>
      </c>
      <c r="G29" s="394">
        <f t="shared" si="4"/>
        <v>251996.07000000004</v>
      </c>
    </row>
    <row r="30" spans="2:7" s="382" customFormat="1" ht="15" customHeight="1" thickTop="1">
      <c r="B30" s="381"/>
      <c r="C30" s="381"/>
      <c r="D30" s="381"/>
      <c r="E30" s="381"/>
      <c r="F30" s="381"/>
      <c r="G30" s="381"/>
    </row>
    <row r="31" spans="1:7" s="382" customFormat="1" ht="15" customHeight="1">
      <c r="A31" s="376" t="s">
        <v>220</v>
      </c>
      <c r="B31" s="384"/>
      <c r="C31" s="384"/>
      <c r="D31" s="384"/>
      <c r="E31" s="384"/>
      <c r="F31" s="384"/>
      <c r="G31" s="381"/>
    </row>
    <row r="32" spans="1:7" s="382" customFormat="1" ht="15" customHeight="1">
      <c r="A32" s="382" t="s">
        <v>221</v>
      </c>
      <c r="B32" s="381">
        <f>'Earned Incurred YTD-p6'!B49</f>
        <v>8748.01</v>
      </c>
      <c r="C32" s="381">
        <v>0</v>
      </c>
      <c r="D32" s="381">
        <v>0</v>
      </c>
      <c r="E32" s="381">
        <v>0</v>
      </c>
      <c r="F32" s="381">
        <v>0</v>
      </c>
      <c r="G32" s="381">
        <f>SUM(B32:F32)</f>
        <v>8748.01</v>
      </c>
    </row>
    <row r="33" spans="1:7" s="382" customFormat="1" ht="15" customHeight="1">
      <c r="A33" s="382" t="s">
        <v>222</v>
      </c>
      <c r="B33" s="381">
        <v>0</v>
      </c>
      <c r="C33" s="381">
        <f>'[8]Equity YTD-p4'!$C$33</f>
        <v>282394.17</v>
      </c>
      <c r="D33" s="381">
        <v>0</v>
      </c>
      <c r="E33" s="381">
        <v>0</v>
      </c>
      <c r="F33" s="381">
        <v>0</v>
      </c>
      <c r="G33" s="381">
        <f>SUM(B33:F33)</f>
        <v>282394.17</v>
      </c>
    </row>
    <row r="34" spans="1:8" s="382" customFormat="1" ht="15" customHeight="1">
      <c r="A34" s="382" t="s">
        <v>310</v>
      </c>
      <c r="B34" s="381">
        <f>'Income Statement-p2'!B35</f>
        <v>175827</v>
      </c>
      <c r="C34" s="381">
        <v>0</v>
      </c>
      <c r="D34" s="381">
        <v>0</v>
      </c>
      <c r="E34" s="381">
        <v>0</v>
      </c>
      <c r="F34" s="381">
        <v>0</v>
      </c>
      <c r="G34" s="381">
        <f>SUM(B34:F34)</f>
        <v>175827</v>
      </c>
      <c r="H34" s="397"/>
    </row>
    <row r="35" spans="1:7" s="382" customFormat="1" ht="15" customHeight="1" thickBot="1">
      <c r="A35" s="382" t="s">
        <v>206</v>
      </c>
      <c r="B35" s="383">
        <f aca="true" t="shared" si="5" ref="B35:G35">SUM(B32:B34)</f>
        <v>184575.01</v>
      </c>
      <c r="C35" s="383">
        <f t="shared" si="5"/>
        <v>282394.17</v>
      </c>
      <c r="D35" s="383">
        <f t="shared" si="5"/>
        <v>0</v>
      </c>
      <c r="E35" s="383">
        <f t="shared" si="5"/>
        <v>0</v>
      </c>
      <c r="F35" s="383">
        <f t="shared" si="5"/>
        <v>0</v>
      </c>
      <c r="G35" s="394">
        <f t="shared" si="5"/>
        <v>466969.18</v>
      </c>
    </row>
    <row r="36" spans="2:7" s="382" customFormat="1" ht="15" customHeight="1" thickTop="1">
      <c r="B36" s="381"/>
      <c r="C36" s="381"/>
      <c r="D36" s="381"/>
      <c r="E36" s="381"/>
      <c r="F36" s="381"/>
      <c r="G36" s="389"/>
    </row>
    <row r="37" spans="1:7" s="382" customFormat="1" ht="19.5" customHeight="1" thickBot="1">
      <c r="A37" s="376" t="s">
        <v>223</v>
      </c>
      <c r="B37" s="388">
        <f aca="true" t="shared" si="6" ref="B37:G37">B24-B29+B35</f>
        <v>12398541.770000003</v>
      </c>
      <c r="C37" s="388">
        <f t="shared" si="6"/>
        <v>-10388875.259999998</v>
      </c>
      <c r="D37" s="388">
        <f t="shared" si="6"/>
        <v>-681386.58</v>
      </c>
      <c r="E37" s="388">
        <f t="shared" si="6"/>
        <v>-76581.83</v>
      </c>
      <c r="F37" s="388">
        <f t="shared" si="6"/>
        <v>75159.93000000001</v>
      </c>
      <c r="G37" s="394">
        <f t="shared" si="6"/>
        <v>1326857.0300000017</v>
      </c>
    </row>
    <row r="38" spans="2:7" s="382" customFormat="1" ht="15" customHeight="1" thickTop="1">
      <c r="B38" s="381"/>
      <c r="C38" s="381"/>
      <c r="D38" s="381"/>
      <c r="E38" s="381"/>
      <c r="F38" s="381"/>
      <c r="G38" s="381"/>
    </row>
    <row r="39" spans="1:7" s="382" customFormat="1" ht="15" customHeight="1">
      <c r="A39" s="390" t="s">
        <v>136</v>
      </c>
      <c r="B39" s="381"/>
      <c r="C39" s="381"/>
      <c r="D39" s="381"/>
      <c r="E39" s="381"/>
      <c r="F39" s="381"/>
      <c r="G39" s="381"/>
    </row>
    <row r="40" spans="1:7" s="382" customFormat="1" ht="15" customHeight="1">
      <c r="A40" s="382" t="s">
        <v>179</v>
      </c>
      <c r="B40" s="381">
        <f>'Premiums YTD-p8'!B17</f>
        <v>10749487</v>
      </c>
      <c r="C40" s="381">
        <f>'Premiums YTD-p8'!C17</f>
        <v>0</v>
      </c>
      <c r="D40" s="381">
        <f>'Premiums YTD-p8'!D17</f>
        <v>0</v>
      </c>
      <c r="E40" s="381">
        <f>'Premiums YTD-p8'!E17</f>
        <v>0</v>
      </c>
      <c r="F40" s="381">
        <f>'Premiums YTD-p8'!F17</f>
        <v>0</v>
      </c>
      <c r="G40" s="381">
        <f>SUM(B40:F40)</f>
        <v>10749487</v>
      </c>
    </row>
    <row r="41" spans="1:7" s="382" customFormat="1" ht="15" customHeight="1">
      <c r="A41" s="382" t="s">
        <v>224</v>
      </c>
      <c r="B41" s="381">
        <f>+'Losses Incurred YTD-p10'!B18</f>
        <v>5008777</v>
      </c>
      <c r="C41" s="381">
        <f>+'Losses Incurred YTD-p10'!C18</f>
        <v>1978508.76</v>
      </c>
      <c r="D41" s="381">
        <f>+'Losses Incurred YTD-p10'!D18</f>
        <v>94531</v>
      </c>
      <c r="E41" s="381">
        <f>'Losses Incurred YTD-p10'!E18</f>
        <v>133700</v>
      </c>
      <c r="F41" s="381">
        <f>'Losses Incurred YTD-p10'!F18</f>
        <v>25029</v>
      </c>
      <c r="G41" s="381">
        <f>SUM(B41:F41)</f>
        <v>7240545.76</v>
      </c>
    </row>
    <row r="42" spans="1:7" s="382" customFormat="1" ht="15" customHeight="1">
      <c r="A42" s="382" t="s">
        <v>225</v>
      </c>
      <c r="B42" s="381">
        <f>+'Loss Expenses YTD-p12'!B18</f>
        <v>434423.23000000004</v>
      </c>
      <c r="C42" s="381">
        <f>+'Loss Expenses YTD-p12'!C18</f>
        <v>250677.06</v>
      </c>
      <c r="D42" s="381">
        <f>+'Loss Expenses YTD-p12'!D18</f>
        <v>11977.07</v>
      </c>
      <c r="E42" s="381">
        <f>'Loss Expenses YTD-p12'!E18</f>
        <v>16939.79</v>
      </c>
      <c r="F42" s="381">
        <f>'Loss Expenses YTD-p12'!F18</f>
        <v>3171.1700000000005</v>
      </c>
      <c r="G42" s="381">
        <f>SUM(B42:F42)</f>
        <v>717188.3200000001</v>
      </c>
    </row>
    <row r="43" spans="1:7" s="382" customFormat="1" ht="15" customHeight="1">
      <c r="A43" s="382" t="s">
        <v>226</v>
      </c>
      <c r="B43" s="381">
        <f>'Earned Incurred YTD-p6'!B41</f>
        <v>293447.56</v>
      </c>
      <c r="C43" s="381">
        <f>'Earned Incurred YTD-p6'!C41</f>
        <v>0</v>
      </c>
      <c r="D43" s="381">
        <v>0</v>
      </c>
      <c r="E43" s="381">
        <v>0</v>
      </c>
      <c r="F43" s="84">
        <v>0</v>
      </c>
      <c r="G43" s="381">
        <f>SUM(B43:F43)</f>
        <v>293447.56</v>
      </c>
    </row>
    <row r="44" spans="1:7" s="382" customFormat="1" ht="15" customHeight="1">
      <c r="A44" s="382" t="s">
        <v>227</v>
      </c>
      <c r="B44" s="381">
        <f>'Earned Incurred YTD-p6'!B33</f>
        <v>61134.57</v>
      </c>
      <c r="C44" s="381">
        <f>'Earned Incurred YTD-p6'!C33</f>
        <v>0</v>
      </c>
      <c r="D44" s="381">
        <v>0</v>
      </c>
      <c r="E44" s="381">
        <v>0</v>
      </c>
      <c r="F44" s="84">
        <v>0</v>
      </c>
      <c r="G44" s="381">
        <f>SUM(B44:F44)</f>
        <v>61134.57</v>
      </c>
    </row>
    <row r="45" spans="1:7" s="382" customFormat="1" ht="15" customHeight="1" thickBot="1">
      <c r="A45" s="379" t="s">
        <v>206</v>
      </c>
      <c r="B45" s="383">
        <f>SUM(B40:B44)+1</f>
        <v>16547270.360000001</v>
      </c>
      <c r="C45" s="383">
        <f>SUM(C40:C44)</f>
        <v>2229185.82</v>
      </c>
      <c r="D45" s="383">
        <f>SUM(D40:D44)</f>
        <v>106508.07</v>
      </c>
      <c r="E45" s="383">
        <f>SUM(E40:E44)</f>
        <v>150639.79</v>
      </c>
      <c r="F45" s="383">
        <f>SUM(F40:F44)</f>
        <v>28200.170000000002</v>
      </c>
      <c r="G45" s="394">
        <f>SUM(G40:G44)</f>
        <v>19061803.209999997</v>
      </c>
    </row>
    <row r="46" spans="2:7" s="382" customFormat="1" ht="15" customHeight="1" thickTop="1">
      <c r="B46" s="381"/>
      <c r="C46" s="381"/>
      <c r="D46" s="381"/>
      <c r="E46" s="381"/>
      <c r="F46" s="381"/>
      <c r="G46" s="381"/>
    </row>
    <row r="47" spans="1:7" s="382" customFormat="1" ht="15" customHeight="1">
      <c r="A47" s="390" t="s">
        <v>137</v>
      </c>
      <c r="B47" s="391"/>
      <c r="C47" s="391"/>
      <c r="D47" s="391"/>
      <c r="E47" s="391"/>
      <c r="F47" s="381"/>
      <c r="G47" s="381"/>
    </row>
    <row r="48" spans="1:7" s="382" customFormat="1" ht="15" customHeight="1">
      <c r="A48" s="382" t="s">
        <v>179</v>
      </c>
      <c r="B48" s="381">
        <f>+'Premiums YTD-p8'!B23</f>
        <v>0</v>
      </c>
      <c r="C48" s="381">
        <f>+'Premiums YTD-p8'!C23</f>
        <v>8897126</v>
      </c>
      <c r="D48" s="381">
        <f>+'Premiums YTD-p8'!D23</f>
        <v>0</v>
      </c>
      <c r="E48" s="381">
        <f>+'Premiums YTD-p8'!E23</f>
        <v>0</v>
      </c>
      <c r="F48" s="381">
        <v>0</v>
      </c>
      <c r="G48" s="381">
        <f>SUM(B48:F48)</f>
        <v>8897126</v>
      </c>
    </row>
    <row r="49" spans="1:7" s="382" customFormat="1" ht="15" customHeight="1">
      <c r="A49" s="382" t="s">
        <v>224</v>
      </c>
      <c r="B49" s="381">
        <v>0</v>
      </c>
      <c r="C49" s="381">
        <f>+'Losses Incurred YTD-p10'!C24</f>
        <v>4404123.38</v>
      </c>
      <c r="D49" s="381">
        <f>+'Losses Incurred YTD-p10'!D24</f>
        <v>932658.46</v>
      </c>
      <c r="E49" s="381">
        <f>+'Losses Incurred YTD-p10'!E24</f>
        <v>172030</v>
      </c>
      <c r="F49" s="381">
        <f>+'Losses Incurred YTD-p10'!F24</f>
        <v>78666.85</v>
      </c>
      <c r="G49" s="381">
        <f>SUM(B49:F49)</f>
        <v>5587478.6899999995</v>
      </c>
    </row>
    <row r="50" spans="1:7" s="382" customFormat="1" ht="15" customHeight="1">
      <c r="A50" s="382" t="s">
        <v>228</v>
      </c>
      <c r="B50" s="381">
        <v>0</v>
      </c>
      <c r="C50" s="381">
        <f>+'Loss Expenses YTD-p12'!C24</f>
        <v>343249.24</v>
      </c>
      <c r="D50" s="381">
        <f>+'Loss Expenses YTD-p12'!D24</f>
        <v>103711.5</v>
      </c>
      <c r="E50" s="381">
        <f>+'Loss Expenses YTD-p12'!E24</f>
        <v>19129.739999999998</v>
      </c>
      <c r="F50" s="381">
        <f>+'Loss Expenses YTD-p12'!F24</f>
        <v>8746.74</v>
      </c>
      <c r="G50" s="381">
        <f>SUM(B50:F50)</f>
        <v>474837.22</v>
      </c>
    </row>
    <row r="51" spans="1:7" s="382" customFormat="1" ht="15" customHeight="1">
      <c r="A51" s="382" t="s">
        <v>226</v>
      </c>
      <c r="B51" s="381">
        <v>0</v>
      </c>
      <c r="C51" s="381">
        <f>+'Earned Incurred YTD-p6'!B42</f>
        <v>356304.2</v>
      </c>
      <c r="D51" s="381">
        <v>0</v>
      </c>
      <c r="E51" s="381">
        <v>0</v>
      </c>
      <c r="F51" s="381">
        <v>0</v>
      </c>
      <c r="G51" s="381">
        <f>SUM(B51:F51)</f>
        <v>356304.2</v>
      </c>
    </row>
    <row r="52" spans="1:7" s="382" customFormat="1" ht="15" customHeight="1">
      <c r="A52" s="382" t="s">
        <v>227</v>
      </c>
      <c r="B52" s="381">
        <v>0</v>
      </c>
      <c r="C52" s="381">
        <f>+'Earned Incurred YTD-p6'!B34</f>
        <v>46320</v>
      </c>
      <c r="D52" s="381">
        <v>0</v>
      </c>
      <c r="E52" s="381">
        <v>0</v>
      </c>
      <c r="F52" s="381">
        <v>0</v>
      </c>
      <c r="G52" s="381">
        <f>SUM(B52:F52)</f>
        <v>46320</v>
      </c>
    </row>
    <row r="53" spans="1:7" s="382" customFormat="1" ht="15" customHeight="1" thickBot="1">
      <c r="A53" s="382" t="s">
        <v>206</v>
      </c>
      <c r="B53" s="383">
        <f aca="true" t="shared" si="7" ref="B53:G53">SUM(B48:B52)</f>
        <v>0</v>
      </c>
      <c r="C53" s="383">
        <f>SUM(C48:C52)-1</f>
        <v>14047121.819999998</v>
      </c>
      <c r="D53" s="383">
        <f t="shared" si="7"/>
        <v>1036369.96</v>
      </c>
      <c r="E53" s="383">
        <f t="shared" si="7"/>
        <v>191159.74</v>
      </c>
      <c r="F53" s="383">
        <f t="shared" si="7"/>
        <v>87413.59000000001</v>
      </c>
      <c r="G53" s="394">
        <f t="shared" si="7"/>
        <v>15362066.11</v>
      </c>
    </row>
    <row r="54" spans="2:7" s="382" customFormat="1" ht="15" customHeight="1" thickTop="1">
      <c r="B54" s="392"/>
      <c r="C54" s="392"/>
      <c r="D54" s="392"/>
      <c r="E54" s="392"/>
      <c r="F54" s="84"/>
      <c r="G54" s="84"/>
    </row>
    <row r="55" spans="1:8" s="395" customFormat="1" ht="15" customHeight="1" thickBot="1">
      <c r="A55" s="393" t="s">
        <v>229</v>
      </c>
      <c r="B55" s="419">
        <f aca="true" t="shared" si="8" ref="B55:G55">B37-B45+B53</f>
        <v>-4148728.589999998</v>
      </c>
      <c r="C55" s="419">
        <f t="shared" si="8"/>
        <v>1429060.7400000002</v>
      </c>
      <c r="D55" s="419">
        <f t="shared" si="8"/>
        <v>248475.31000000006</v>
      </c>
      <c r="E55" s="419">
        <f t="shared" si="8"/>
        <v>-36061.880000000005</v>
      </c>
      <c r="F55" s="419">
        <f t="shared" si="8"/>
        <v>134373.35000000003</v>
      </c>
      <c r="G55" s="419">
        <f t="shared" si="8"/>
        <v>-2372880.0699999966</v>
      </c>
      <c r="H55" s="397"/>
    </row>
    <row r="56" spans="2:7" s="382" customFormat="1" ht="15" thickTop="1">
      <c r="B56" s="392"/>
      <c r="C56" s="392"/>
      <c r="D56" s="392"/>
      <c r="E56" s="392"/>
      <c r="F56" s="84"/>
      <c r="G56" s="84"/>
    </row>
    <row r="57" spans="2:7" s="382" customFormat="1" ht="14.25">
      <c r="B57" s="392"/>
      <c r="C57" s="392"/>
      <c r="D57" s="392"/>
      <c r="E57" s="392"/>
      <c r="F57" s="84"/>
      <c r="G57" s="84"/>
    </row>
    <row r="58" spans="2:7" s="382" customFormat="1" ht="14.25">
      <c r="B58" s="392"/>
      <c r="C58" s="392"/>
      <c r="D58" s="392"/>
      <c r="E58" s="392"/>
      <c r="F58" s="84"/>
      <c r="G58" s="84"/>
    </row>
  </sheetData>
  <mergeCells count="4">
    <mergeCell ref="A1:G1"/>
    <mergeCell ref="A2:G2"/>
    <mergeCell ref="A3:G3"/>
    <mergeCell ref="A4:G4"/>
  </mergeCells>
  <printOptions horizontalCentered="1"/>
  <pageMargins left="0.25" right="0.25" top="0.75" bottom="0.5" header="0.5" footer="0"/>
  <pageSetup horizontalDpi="600" verticalDpi="600" orientation="portrait" scale="75" r:id="rId1"/>
  <headerFooter alignWithMargins="0">
    <oddFooter>&amp;CPage 4
</oddFooter>
  </headerFooter>
</worksheet>
</file>

<file path=xl/worksheets/sheet6.xml><?xml version="1.0" encoding="utf-8"?>
<worksheet xmlns="http://schemas.openxmlformats.org/spreadsheetml/2006/main" xmlns:r="http://schemas.openxmlformats.org/officeDocument/2006/relationships">
  <dimension ref="A1:E154"/>
  <sheetViews>
    <sheetView workbookViewId="0" topLeftCell="A1">
      <selection activeCell="A1" sqref="A1:G1"/>
    </sheetView>
  </sheetViews>
  <sheetFormatPr defaultColWidth="9.140625" defaultRowHeight="15" customHeight="1"/>
  <cols>
    <col min="1" max="1" width="41.421875" style="19" customWidth="1"/>
    <col min="2" max="4" width="17.7109375" style="182" customWidth="1"/>
    <col min="5" max="5" width="9.28125" style="19" bestFit="1" customWidth="1"/>
    <col min="6" max="16384" width="9.140625" style="19" customWidth="1"/>
  </cols>
  <sheetData>
    <row r="1" spans="1:4" s="116" customFormat="1" ht="27" customHeight="1">
      <c r="A1" s="516" t="s">
        <v>166</v>
      </c>
      <c r="B1" s="517"/>
      <c r="C1" s="517"/>
      <c r="D1" s="518"/>
    </row>
    <row r="2" spans="1:4" s="30" customFormat="1" ht="18" customHeight="1">
      <c r="A2" s="519"/>
      <c r="B2" s="508"/>
      <c r="C2" s="508"/>
      <c r="D2" s="520"/>
    </row>
    <row r="3" spans="1:4" s="30" customFormat="1" ht="15.75" customHeight="1">
      <c r="A3" s="514" t="s">
        <v>155</v>
      </c>
      <c r="B3" s="510"/>
      <c r="C3" s="510"/>
      <c r="D3" s="515"/>
    </row>
    <row r="4" spans="1:4" s="30" customFormat="1" ht="15.75" customHeight="1">
      <c r="A4" s="514" t="s">
        <v>230</v>
      </c>
      <c r="B4" s="510"/>
      <c r="C4" s="510"/>
      <c r="D4" s="515"/>
    </row>
    <row r="5" spans="1:4" s="30" customFormat="1" ht="15.75" customHeight="1">
      <c r="A5" s="514" t="s">
        <v>298</v>
      </c>
      <c r="B5" s="510"/>
      <c r="C5" s="510"/>
      <c r="D5" s="515"/>
    </row>
    <row r="6" spans="1:4" s="30" customFormat="1" ht="15" customHeight="1">
      <c r="A6" s="105"/>
      <c r="B6" s="159"/>
      <c r="C6" s="159"/>
      <c r="D6" s="186"/>
    </row>
    <row r="7" spans="1:4" s="15" customFormat="1" ht="15" customHeight="1">
      <c r="A7" s="106"/>
      <c r="B7" s="159"/>
      <c r="C7" s="159"/>
      <c r="D7" s="186"/>
    </row>
    <row r="8" spans="1:4" s="15" customFormat="1" ht="15" customHeight="1">
      <c r="A8" s="107" t="s">
        <v>231</v>
      </c>
      <c r="B8" s="178" t="s">
        <v>305</v>
      </c>
      <c r="C8" s="183"/>
      <c r="D8" s="187"/>
    </row>
    <row r="9" spans="1:4" s="15" customFormat="1" ht="15" customHeight="1">
      <c r="A9" s="107"/>
      <c r="B9" s="179" t="s">
        <v>146</v>
      </c>
      <c r="C9" s="184"/>
      <c r="D9" s="188"/>
    </row>
    <row r="10" spans="1:4" s="15" customFormat="1" ht="15" customHeight="1">
      <c r="A10" s="89"/>
      <c r="B10" s="207" t="s">
        <v>176</v>
      </c>
      <c r="C10" s="211"/>
      <c r="D10" s="212"/>
    </row>
    <row r="11" spans="1:4" s="15" customFormat="1" ht="15" customHeight="1">
      <c r="A11" s="90" t="s">
        <v>232</v>
      </c>
      <c r="B11" s="208"/>
      <c r="C11" s="414">
        <f>'Premiums QTD-p7'!G11</f>
        <v>5385452</v>
      </c>
      <c r="D11" s="189"/>
    </row>
    <row r="12" spans="1:4" s="15" customFormat="1" ht="15" customHeight="1">
      <c r="A12" s="90"/>
      <c r="B12" s="208"/>
      <c r="C12" s="84"/>
      <c r="D12" s="189"/>
    </row>
    <row r="13" spans="1:4" s="15" customFormat="1" ht="15" customHeight="1">
      <c r="A13" s="91" t="s">
        <v>233</v>
      </c>
      <c r="B13" s="208">
        <f>+'Premiums QTD-p7'!G17</f>
        <v>10749487</v>
      </c>
      <c r="C13" s="68"/>
      <c r="D13" s="189"/>
    </row>
    <row r="14" spans="1:4" s="15" customFormat="1" ht="15" customHeight="1">
      <c r="A14" s="91" t="s">
        <v>234</v>
      </c>
      <c r="B14" s="209">
        <f>'Premiums QTD-p7'!G23</f>
        <v>10606891</v>
      </c>
      <c r="C14" s="68"/>
      <c r="D14" s="189"/>
    </row>
    <row r="15" spans="1:4" s="15" customFormat="1" ht="15" customHeight="1">
      <c r="A15" s="91" t="s">
        <v>235</v>
      </c>
      <c r="B15" s="208"/>
      <c r="C15" s="180">
        <f>B14-B13</f>
        <v>-142596</v>
      </c>
      <c r="D15" s="189"/>
    </row>
    <row r="16" spans="1:4" s="15" customFormat="1" ht="15" customHeight="1">
      <c r="A16" s="90" t="s">
        <v>236</v>
      </c>
      <c r="B16" s="208"/>
      <c r="C16" s="68"/>
      <c r="D16" s="415">
        <f>C11+C15</f>
        <v>5242856</v>
      </c>
    </row>
    <row r="17" spans="1:4" s="15" customFormat="1" ht="15" customHeight="1">
      <c r="A17" s="91" t="s">
        <v>237</v>
      </c>
      <c r="B17" s="208"/>
      <c r="C17" s="68">
        <f>'[7]Loss Expenses Paid QTD-p16'!E43</f>
        <v>2836313.25</v>
      </c>
      <c r="D17" s="189"/>
    </row>
    <row r="18" spans="1:4" s="15" customFormat="1" ht="15" customHeight="1">
      <c r="A18" s="91" t="s">
        <v>40</v>
      </c>
      <c r="B18" s="208"/>
      <c r="C18" s="180">
        <f>-'[7]Trial Balance'!D266</f>
        <v>2047.49</v>
      </c>
      <c r="D18" s="189"/>
    </row>
    <row r="19" spans="1:4" s="15" customFormat="1" ht="15" customHeight="1">
      <c r="A19" s="90" t="s">
        <v>238</v>
      </c>
      <c r="B19" s="208"/>
      <c r="C19" s="68">
        <f>C17-C18</f>
        <v>2834265.76</v>
      </c>
      <c r="D19" s="189"/>
    </row>
    <row r="20" spans="1:4" s="15" customFormat="1" ht="15" customHeight="1">
      <c r="A20" s="91" t="s">
        <v>239</v>
      </c>
      <c r="B20" s="208">
        <f>+'Losses Incurred QTD-p9'!G18</f>
        <v>7240545.76</v>
      </c>
      <c r="C20" s="68" t="s">
        <v>176</v>
      </c>
      <c r="D20" s="189"/>
    </row>
    <row r="21" spans="1:4" s="15" customFormat="1" ht="15" customHeight="1">
      <c r="A21" s="91" t="s">
        <v>240</v>
      </c>
      <c r="B21" s="209">
        <f>+'Losses Incurred QTD-p9'!G24</f>
        <v>6234014.28</v>
      </c>
      <c r="C21" s="68"/>
      <c r="D21" s="189"/>
    </row>
    <row r="22" spans="1:4" s="15" customFormat="1" ht="15" customHeight="1">
      <c r="A22" s="91" t="s">
        <v>241</v>
      </c>
      <c r="B22" s="210"/>
      <c r="C22" s="180">
        <f>B20-B21+1</f>
        <v>1006532.4799999995</v>
      </c>
      <c r="D22" s="189"/>
    </row>
    <row r="23" spans="1:4" s="15" customFormat="1" ht="15" customHeight="1">
      <c r="A23" s="90" t="s">
        <v>242</v>
      </c>
      <c r="B23" s="208"/>
      <c r="C23" s="68"/>
      <c r="D23" s="189">
        <f>C19+C22</f>
        <v>3840798.2399999993</v>
      </c>
    </row>
    <row r="24" spans="1:4" s="15" customFormat="1" ht="15" customHeight="1">
      <c r="A24" s="91" t="s">
        <v>243</v>
      </c>
      <c r="B24" s="208"/>
      <c r="C24" s="68">
        <f>'[7]Loss Expenses Paid QTD-p16'!C43</f>
        <v>273780.56</v>
      </c>
      <c r="D24" s="189"/>
    </row>
    <row r="25" spans="1:4" s="15" customFormat="1" ht="15" customHeight="1">
      <c r="A25" s="91" t="s">
        <v>244</v>
      </c>
      <c r="B25" s="208"/>
      <c r="C25" s="180">
        <f>'[7]Loss Expenses Paid QTD-p16'!I43-1</f>
        <v>143140.7</v>
      </c>
      <c r="D25" s="189"/>
    </row>
    <row r="26" spans="1:4" s="15" customFormat="1" ht="15" customHeight="1">
      <c r="A26" s="90" t="s">
        <v>245</v>
      </c>
      <c r="B26" s="208"/>
      <c r="C26" s="68">
        <f>C24+C25+1</f>
        <v>416922.26</v>
      </c>
      <c r="D26" s="189"/>
    </row>
    <row r="27" spans="1:4" s="15" customFormat="1" ht="15" customHeight="1">
      <c r="A27" s="91" t="s">
        <v>246</v>
      </c>
      <c r="B27" s="208">
        <f>'Loss Expenses QTD-p11'!G18</f>
        <v>717188.3200000001</v>
      </c>
      <c r="C27" s="68"/>
      <c r="D27" s="189"/>
    </row>
    <row r="28" spans="1:4" s="15" customFormat="1" ht="15" customHeight="1">
      <c r="A28" s="91" t="s">
        <v>247</v>
      </c>
      <c r="B28" s="209">
        <f>'Loss Expenses QTD-p11'!G24</f>
        <v>524724.1499999999</v>
      </c>
      <c r="C28" s="68"/>
      <c r="D28" s="189"/>
    </row>
    <row r="29" spans="1:4" s="15" customFormat="1" ht="15" customHeight="1">
      <c r="A29" s="91" t="s">
        <v>248</v>
      </c>
      <c r="B29" s="208"/>
      <c r="C29" s="180">
        <f>B27-B28</f>
        <v>192464.17000000016</v>
      </c>
      <c r="D29" s="189"/>
    </row>
    <row r="30" spans="1:4" s="15" customFormat="1" ht="15" customHeight="1">
      <c r="A30" s="90" t="s">
        <v>249</v>
      </c>
      <c r="B30" s="208"/>
      <c r="C30" s="68"/>
      <c r="D30" s="191">
        <f>C26+C29</f>
        <v>609386.4300000002</v>
      </c>
    </row>
    <row r="31" spans="1:4" s="15" customFormat="1" ht="15" customHeight="1">
      <c r="A31" s="90" t="s">
        <v>250</v>
      </c>
      <c r="B31" s="208"/>
      <c r="C31" s="68"/>
      <c r="D31" s="192">
        <f>D23+D30-1</f>
        <v>4450183.67</v>
      </c>
    </row>
    <row r="32" spans="1:4" s="15" customFormat="1" ht="15" customHeight="1">
      <c r="A32" s="91" t="s">
        <v>251</v>
      </c>
      <c r="B32" s="208"/>
      <c r="C32" s="68">
        <v>1800</v>
      </c>
      <c r="D32" s="189"/>
    </row>
    <row r="33" spans="1:4" s="15" customFormat="1" ht="15" customHeight="1">
      <c r="A33" s="91" t="s">
        <v>252</v>
      </c>
      <c r="B33" s="208">
        <f>'Earned Incurred YTD-p6'!B33</f>
        <v>61134.57</v>
      </c>
      <c r="C33" s="68"/>
      <c r="D33" s="189"/>
    </row>
    <row r="34" spans="1:4" s="15" customFormat="1" ht="15" customHeight="1">
      <c r="A34" s="91" t="s">
        <v>253</v>
      </c>
      <c r="B34" s="209">
        <f>'[8]Earned Incurred YTD-p6'!$B$33</f>
        <v>42827.65</v>
      </c>
      <c r="C34" s="68"/>
      <c r="D34" s="189"/>
    </row>
    <row r="35" spans="1:4" s="15" customFormat="1" ht="15" customHeight="1">
      <c r="A35" s="91" t="s">
        <v>34</v>
      </c>
      <c r="B35" s="208"/>
      <c r="C35" s="180">
        <f>B33-B34</f>
        <v>18306.92</v>
      </c>
      <c r="D35" s="189"/>
    </row>
    <row r="36" spans="1:4" s="15" customFormat="1" ht="15" customHeight="1">
      <c r="A36" s="90" t="s">
        <v>35</v>
      </c>
      <c r="B36" s="208"/>
      <c r="C36" s="68" t="s">
        <v>176</v>
      </c>
      <c r="D36" s="189">
        <f>SUM(C32:C35)</f>
        <v>20106.92</v>
      </c>
    </row>
    <row r="37" spans="1:4" s="15" customFormat="1" ht="15" customHeight="1">
      <c r="A37" s="91" t="s">
        <v>135</v>
      </c>
      <c r="B37" s="208"/>
      <c r="C37" s="65"/>
      <c r="D37" s="193">
        <f>'[7]Trial Balance'!D393</f>
        <v>469654.0999999999</v>
      </c>
    </row>
    <row r="38" spans="1:4" s="15" customFormat="1" ht="15" customHeight="1">
      <c r="A38" s="32" t="s">
        <v>157</v>
      </c>
      <c r="B38" s="208"/>
      <c r="C38" s="68">
        <f>'[7]Trial Balance'!D396+'[7]Trial Balance'!D398+'[7]Trial Balance'!D406-1</f>
        <v>104893.34999999999</v>
      </c>
      <c r="D38" s="189"/>
    </row>
    <row r="39" spans="1:4" s="15" customFormat="1" ht="15" customHeight="1">
      <c r="A39" s="32" t="s">
        <v>124</v>
      </c>
      <c r="B39" s="208"/>
      <c r="C39" s="180">
        <f>'[7]Trial Balance'!D699</f>
        <v>1033694.9499999993</v>
      </c>
      <c r="D39" s="189"/>
    </row>
    <row r="40" spans="1:4" s="15" customFormat="1" ht="15" customHeight="1">
      <c r="A40" s="31" t="s">
        <v>127</v>
      </c>
      <c r="B40" s="208"/>
      <c r="C40" s="68">
        <f>SUM(C38:C39)</f>
        <v>1138588.2999999993</v>
      </c>
      <c r="D40" s="189"/>
    </row>
    <row r="41" spans="1:4" s="15" customFormat="1" ht="15" customHeight="1">
      <c r="A41" s="32" t="s">
        <v>252</v>
      </c>
      <c r="B41" s="208">
        <f>'Earned Incurred YTD-p6'!B41</f>
        <v>293447.56</v>
      </c>
      <c r="C41" s="68"/>
      <c r="D41" s="189"/>
    </row>
    <row r="42" spans="1:4" s="15" customFormat="1" ht="15" customHeight="1">
      <c r="A42" s="32" t="s">
        <v>130</v>
      </c>
      <c r="B42" s="209">
        <f>'[8]Earned Incurred YTD-p6'!$B$41</f>
        <v>305437.57999999996</v>
      </c>
      <c r="C42" s="68" t="s">
        <v>176</v>
      </c>
      <c r="D42" s="189"/>
    </row>
    <row r="43" spans="1:4" s="15" customFormat="1" ht="15" customHeight="1">
      <c r="A43" s="32" t="s">
        <v>125</v>
      </c>
      <c r="B43" s="208"/>
      <c r="C43" s="180">
        <f>B41-B42</f>
        <v>-11990.01999999996</v>
      </c>
      <c r="D43" s="189"/>
    </row>
    <row r="44" spans="1:4" s="15" customFormat="1" ht="15" customHeight="1">
      <c r="A44" s="31" t="s">
        <v>156</v>
      </c>
      <c r="B44" s="208"/>
      <c r="C44" s="68"/>
      <c r="D44" s="191">
        <f>SUM(C40:C43)</f>
        <v>1126598.2799999993</v>
      </c>
    </row>
    <row r="45" spans="1:4" s="15" customFormat="1" ht="15" customHeight="1">
      <c r="A45" s="90" t="s">
        <v>128</v>
      </c>
      <c r="B45" s="208"/>
      <c r="C45" s="68"/>
      <c r="D45" s="190">
        <f>SUM(D36:D44)</f>
        <v>1616359.2999999993</v>
      </c>
    </row>
    <row r="46" spans="1:4" s="15" customFormat="1" ht="15" customHeight="1">
      <c r="A46" s="31" t="s">
        <v>129</v>
      </c>
      <c r="B46" s="208"/>
      <c r="C46" s="68"/>
      <c r="D46" s="416">
        <f>+D31+D45</f>
        <v>6066542.969999999</v>
      </c>
    </row>
    <row r="47" spans="1:5" s="15" customFormat="1" ht="15" customHeight="1">
      <c r="A47" s="31" t="s">
        <v>29</v>
      </c>
      <c r="B47" s="208"/>
      <c r="C47" s="68"/>
      <c r="D47" s="320">
        <f>D16-D46</f>
        <v>-823686.9699999988</v>
      </c>
      <c r="E47" s="428"/>
    </row>
    <row r="48" spans="1:4" s="15" customFormat="1" ht="15" customHeight="1">
      <c r="A48" s="91" t="s">
        <v>142</v>
      </c>
      <c r="B48" s="208"/>
      <c r="C48" s="68">
        <f>-'[7]Trial Balance'!D240-C51</f>
        <v>26746.419999999995</v>
      </c>
      <c r="D48" s="321"/>
    </row>
    <row r="49" spans="1:4" s="15" customFormat="1" ht="15" customHeight="1">
      <c r="A49" s="91" t="s">
        <v>269</v>
      </c>
      <c r="B49" s="208">
        <f>'Earned Incurred YTD-p6'!B49</f>
        <v>8748.01</v>
      </c>
      <c r="C49" s="68"/>
      <c r="D49" s="321"/>
    </row>
    <row r="50" spans="1:4" s="15" customFormat="1" ht="15" customHeight="1">
      <c r="A50" s="91" t="s">
        <v>270</v>
      </c>
      <c r="B50" s="209">
        <f>'[8]Earned Incurred YTD-p6'!$B$49</f>
        <v>6721.74</v>
      </c>
      <c r="C50" s="68"/>
      <c r="D50" s="321"/>
    </row>
    <row r="51" spans="1:4" s="15" customFormat="1" ht="15" customHeight="1">
      <c r="A51" s="91" t="s">
        <v>271</v>
      </c>
      <c r="B51" s="208"/>
      <c r="C51" s="180">
        <f>B49-B50</f>
        <v>2026.2700000000004</v>
      </c>
      <c r="D51" s="321"/>
    </row>
    <row r="52" spans="1:4" s="15" customFormat="1" ht="15" customHeight="1">
      <c r="A52" s="90" t="s">
        <v>143</v>
      </c>
      <c r="B52" s="208"/>
      <c r="C52" s="68"/>
      <c r="D52" s="213">
        <f>C48+C51-1</f>
        <v>28771.689999999995</v>
      </c>
    </row>
    <row r="53" spans="1:4" s="15" customFormat="1" ht="15" customHeight="1">
      <c r="A53" s="88"/>
      <c r="B53" s="208"/>
      <c r="C53" s="68"/>
      <c r="D53" s="200"/>
    </row>
    <row r="54" spans="1:4" s="15" customFormat="1" ht="15" customHeight="1">
      <c r="A54" s="92" t="s">
        <v>30</v>
      </c>
      <c r="B54" s="209"/>
      <c r="C54" s="180"/>
      <c r="D54" s="415">
        <f>D47+D52</f>
        <v>-794915.2799999989</v>
      </c>
    </row>
    <row r="55" spans="1:4" s="15" customFormat="1" ht="15" customHeight="1">
      <c r="A55" s="66"/>
      <c r="B55" s="196"/>
      <c r="C55" s="181"/>
      <c r="D55" s="338"/>
    </row>
    <row r="56" spans="1:4" s="15" customFormat="1" ht="15" customHeight="1">
      <c r="A56" s="66"/>
      <c r="B56" s="196"/>
      <c r="C56" s="181"/>
      <c r="D56" s="436"/>
    </row>
    <row r="57" spans="1:4" s="15" customFormat="1" ht="15" customHeight="1">
      <c r="A57" s="66"/>
      <c r="B57" s="196"/>
      <c r="C57" s="194"/>
      <c r="D57" s="68"/>
    </row>
    <row r="58" spans="1:4" s="15" customFormat="1" ht="15" customHeight="1">
      <c r="A58" s="66"/>
      <c r="B58" s="196"/>
      <c r="C58" s="181"/>
      <c r="D58" s="68"/>
    </row>
    <row r="59" spans="2:4" s="15" customFormat="1" ht="15" customHeight="1">
      <c r="B59" s="196"/>
      <c r="C59" s="181"/>
      <c r="D59" s="68"/>
    </row>
    <row r="60" spans="1:4" s="15" customFormat="1" ht="15" customHeight="1">
      <c r="A60" s="66"/>
      <c r="B60" s="196"/>
      <c r="C60" s="181"/>
      <c r="D60" s="68"/>
    </row>
    <row r="61" spans="1:4" s="15" customFormat="1" ht="15" customHeight="1">
      <c r="A61" s="66"/>
      <c r="B61" s="196"/>
      <c r="C61" s="181"/>
      <c r="D61" s="68"/>
    </row>
    <row r="62" spans="1:4" s="15" customFormat="1" ht="15" customHeight="1">
      <c r="A62" s="66"/>
      <c r="B62" s="70"/>
      <c r="C62" s="181"/>
      <c r="D62" s="68"/>
    </row>
    <row r="63" spans="1:4" s="15" customFormat="1" ht="15" customHeight="1">
      <c r="A63" s="34"/>
      <c r="B63" s="68"/>
      <c r="C63" s="194"/>
      <c r="D63" s="68"/>
    </row>
    <row r="64" spans="1:4" s="15" customFormat="1" ht="15" customHeight="1">
      <c r="A64" s="34"/>
      <c r="B64" s="68"/>
      <c r="C64" s="68"/>
      <c r="D64" s="68"/>
    </row>
    <row r="65" spans="1:4" s="15" customFormat="1" ht="15" customHeight="1">
      <c r="A65" s="34"/>
      <c r="B65" s="68"/>
      <c r="C65" s="68"/>
      <c r="D65" s="68"/>
    </row>
    <row r="66" spans="1:4" s="15" customFormat="1" ht="15" customHeight="1">
      <c r="A66" s="34"/>
      <c r="B66" s="68"/>
      <c r="C66" s="68"/>
      <c r="D66" s="68"/>
    </row>
    <row r="67" spans="1:4" s="15" customFormat="1" ht="15" customHeight="1">
      <c r="A67" s="34"/>
      <c r="B67" s="68"/>
      <c r="C67" s="68"/>
      <c r="D67" s="68"/>
    </row>
    <row r="68" spans="1:4" s="15" customFormat="1" ht="15" customHeight="1">
      <c r="A68" s="34"/>
      <c r="B68" s="68"/>
      <c r="C68" s="68"/>
      <c r="D68" s="68"/>
    </row>
    <row r="69" spans="1:4" s="15" customFormat="1" ht="15" customHeight="1">
      <c r="A69" s="34"/>
      <c r="B69" s="68"/>
      <c r="C69" s="68"/>
      <c r="D69" s="68"/>
    </row>
    <row r="70" spans="1:4" s="15" customFormat="1" ht="15" customHeight="1">
      <c r="A70" s="34"/>
      <c r="B70" s="68"/>
      <c r="C70" s="68"/>
      <c r="D70" s="68"/>
    </row>
    <row r="71" spans="1:4" s="15" customFormat="1" ht="15" customHeight="1">
      <c r="A71" s="34"/>
      <c r="B71" s="68"/>
      <c r="C71" s="68"/>
      <c r="D71" s="68"/>
    </row>
    <row r="72" spans="1:4" s="15" customFormat="1" ht="15" customHeight="1">
      <c r="A72" s="34"/>
      <c r="B72" s="68"/>
      <c r="C72" s="68"/>
      <c r="D72" s="68"/>
    </row>
    <row r="73" spans="1:4" s="15" customFormat="1" ht="15" customHeight="1">
      <c r="A73" s="34"/>
      <c r="B73" s="68"/>
      <c r="C73" s="68"/>
      <c r="D73" s="68"/>
    </row>
    <row r="74" spans="1:4" s="15" customFormat="1" ht="15" customHeight="1">
      <c r="A74" s="34"/>
      <c r="B74" s="68"/>
      <c r="C74" s="68"/>
      <c r="D74" s="68"/>
    </row>
    <row r="75" spans="1:4" s="15" customFormat="1" ht="15" customHeight="1">
      <c r="A75" s="34"/>
      <c r="B75" s="68"/>
      <c r="C75" s="68"/>
      <c r="D75" s="68"/>
    </row>
    <row r="76" spans="1:4" s="15" customFormat="1" ht="15" customHeight="1">
      <c r="A76" s="34"/>
      <c r="B76" s="68"/>
      <c r="C76" s="68"/>
      <c r="D76" s="68"/>
    </row>
    <row r="77" spans="1:4" s="15" customFormat="1" ht="15" customHeight="1">
      <c r="A77" s="34"/>
      <c r="B77" s="68"/>
      <c r="C77" s="68"/>
      <c r="D77" s="68"/>
    </row>
    <row r="78" spans="1:4" s="15" customFormat="1" ht="15" customHeight="1">
      <c r="A78" s="34"/>
      <c r="B78" s="68"/>
      <c r="C78" s="68"/>
      <c r="D78" s="68"/>
    </row>
    <row r="79" spans="1:4" s="15" customFormat="1" ht="15" customHeight="1">
      <c r="A79" s="34"/>
      <c r="B79" s="68"/>
      <c r="C79" s="70"/>
      <c r="D79" s="70"/>
    </row>
    <row r="80" spans="1:4" s="15" customFormat="1" ht="15" customHeight="1">
      <c r="A80" s="34"/>
      <c r="B80" s="68"/>
      <c r="C80" s="70"/>
      <c r="D80" s="70"/>
    </row>
    <row r="81" spans="1:4" s="15" customFormat="1" ht="15" customHeight="1">
      <c r="A81" s="34"/>
      <c r="B81" s="68"/>
      <c r="C81" s="70"/>
      <c r="D81" s="70"/>
    </row>
    <row r="82" spans="1:4" s="15" customFormat="1" ht="15" customHeight="1">
      <c r="A82" s="34"/>
      <c r="B82" s="70"/>
      <c r="C82" s="70"/>
      <c r="D82" s="70"/>
    </row>
    <row r="83" spans="1:4" s="15" customFormat="1" ht="15" customHeight="1">
      <c r="A83" s="34"/>
      <c r="B83" s="70"/>
      <c r="C83" s="70"/>
      <c r="D83" s="70"/>
    </row>
    <row r="84" spans="1:4" s="15" customFormat="1" ht="15" customHeight="1">
      <c r="A84" s="34"/>
      <c r="B84" s="70"/>
      <c r="C84" s="70"/>
      <c r="D84" s="70"/>
    </row>
    <row r="85" spans="1:4" s="15" customFormat="1" ht="15" customHeight="1">
      <c r="A85" s="34"/>
      <c r="B85" s="70"/>
      <c r="C85" s="70"/>
      <c r="D85" s="70"/>
    </row>
    <row r="86" spans="1:4" s="15" customFormat="1" ht="15" customHeight="1">
      <c r="A86" s="34"/>
      <c r="B86" s="70"/>
      <c r="C86" s="70"/>
      <c r="D86" s="70"/>
    </row>
    <row r="87" spans="1:4" s="15" customFormat="1" ht="15" customHeight="1">
      <c r="A87" s="34"/>
      <c r="B87" s="70"/>
      <c r="C87" s="70"/>
      <c r="D87" s="70"/>
    </row>
    <row r="88" spans="1:4" s="15" customFormat="1" ht="15" customHeight="1">
      <c r="A88" s="34"/>
      <c r="B88" s="70"/>
      <c r="C88" s="70"/>
      <c r="D88" s="70"/>
    </row>
    <row r="89" spans="1:4" s="15" customFormat="1" ht="15" customHeight="1">
      <c r="A89" s="34"/>
      <c r="B89" s="70"/>
      <c r="C89" s="70"/>
      <c r="D89" s="70"/>
    </row>
    <row r="90" spans="1:4" s="15" customFormat="1" ht="15" customHeight="1">
      <c r="A90" s="34"/>
      <c r="B90" s="70"/>
      <c r="C90" s="70"/>
      <c r="D90" s="70"/>
    </row>
    <row r="91" spans="1:4" s="15" customFormat="1" ht="15" customHeight="1">
      <c r="A91" s="34"/>
      <c r="B91" s="70"/>
      <c r="C91" s="70"/>
      <c r="D91" s="70"/>
    </row>
    <row r="92" spans="1:4" s="15" customFormat="1" ht="15" customHeight="1">
      <c r="A92" s="34"/>
      <c r="B92" s="70"/>
      <c r="C92" s="70"/>
      <c r="D92" s="70"/>
    </row>
    <row r="93" spans="1:4" s="15" customFormat="1" ht="15" customHeight="1">
      <c r="A93" s="34"/>
      <c r="B93" s="70"/>
      <c r="C93" s="70"/>
      <c r="D93" s="70"/>
    </row>
    <row r="94" spans="1:4" s="15" customFormat="1" ht="15" customHeight="1">
      <c r="A94" s="34"/>
      <c r="B94" s="70"/>
      <c r="C94" s="70"/>
      <c r="D94" s="70"/>
    </row>
    <row r="95" spans="1:4" s="15" customFormat="1" ht="15" customHeight="1">
      <c r="A95" s="34"/>
      <c r="B95" s="70"/>
      <c r="C95" s="70"/>
      <c r="D95" s="70"/>
    </row>
    <row r="96" spans="1:4" s="15" customFormat="1" ht="15" customHeight="1">
      <c r="A96" s="34"/>
      <c r="B96" s="70"/>
      <c r="C96" s="70"/>
      <c r="D96" s="70"/>
    </row>
    <row r="97" spans="1:4" s="15" customFormat="1" ht="15" customHeight="1">
      <c r="A97" s="34"/>
      <c r="B97" s="70"/>
      <c r="C97" s="70"/>
      <c r="D97" s="70"/>
    </row>
    <row r="98" spans="1:4" s="15" customFormat="1" ht="15" customHeight="1">
      <c r="A98" s="34"/>
      <c r="B98" s="70"/>
      <c r="C98" s="70"/>
      <c r="D98" s="70"/>
    </row>
    <row r="99" spans="1:4" s="15" customFormat="1" ht="15" customHeight="1">
      <c r="A99" s="34"/>
      <c r="B99" s="70"/>
      <c r="C99" s="70"/>
      <c r="D99" s="70"/>
    </row>
    <row r="100" spans="1:4" s="15" customFormat="1" ht="15" customHeight="1">
      <c r="A100" s="34"/>
      <c r="B100" s="70"/>
      <c r="C100" s="70"/>
      <c r="D100" s="70"/>
    </row>
    <row r="101" spans="1:4" s="15" customFormat="1" ht="15" customHeight="1">
      <c r="A101" s="34"/>
      <c r="B101" s="70"/>
      <c r="C101" s="70"/>
      <c r="D101" s="70"/>
    </row>
    <row r="102" spans="1:4" s="15" customFormat="1" ht="15" customHeight="1">
      <c r="A102" s="34"/>
      <c r="B102" s="70"/>
      <c r="C102" s="70"/>
      <c r="D102" s="70"/>
    </row>
    <row r="103" spans="1:4" s="15" customFormat="1" ht="15" customHeight="1">
      <c r="A103" s="34"/>
      <c r="B103" s="70"/>
      <c r="C103" s="70"/>
      <c r="D103" s="70"/>
    </row>
    <row r="104" spans="1:4" s="15" customFormat="1" ht="15" customHeight="1">
      <c r="A104" s="34"/>
      <c r="B104" s="70"/>
      <c r="C104" s="70"/>
      <c r="D104" s="70"/>
    </row>
    <row r="105" spans="1:4" s="15" customFormat="1" ht="15" customHeight="1">
      <c r="A105" s="34"/>
      <c r="B105" s="70"/>
      <c r="C105" s="70"/>
      <c r="D105" s="70"/>
    </row>
    <row r="106" spans="1:4" s="15" customFormat="1" ht="15" customHeight="1">
      <c r="A106" s="34"/>
      <c r="B106" s="70"/>
      <c r="C106" s="70"/>
      <c r="D106" s="70"/>
    </row>
    <row r="107" spans="1:4" s="15" customFormat="1" ht="15" customHeight="1">
      <c r="A107" s="34"/>
      <c r="B107" s="70"/>
      <c r="C107" s="70"/>
      <c r="D107" s="70"/>
    </row>
    <row r="108" spans="1:4" s="15" customFormat="1" ht="15" customHeight="1">
      <c r="A108" s="34"/>
      <c r="B108" s="70"/>
      <c r="C108" s="70"/>
      <c r="D108" s="70"/>
    </row>
    <row r="109" spans="1:4" s="15" customFormat="1" ht="15" customHeight="1">
      <c r="A109" s="34"/>
      <c r="B109" s="70"/>
      <c r="C109" s="70"/>
      <c r="D109" s="70"/>
    </row>
    <row r="110" spans="1:4" s="15" customFormat="1" ht="15" customHeight="1">
      <c r="A110" s="34"/>
      <c r="B110" s="70"/>
      <c r="C110" s="70"/>
      <c r="D110" s="70"/>
    </row>
    <row r="111" spans="1:4" s="15" customFormat="1" ht="15" customHeight="1">
      <c r="A111" s="373"/>
      <c r="B111" s="70"/>
      <c r="C111" s="70"/>
      <c r="D111" s="70"/>
    </row>
    <row r="112" spans="1:4" s="15" customFormat="1" ht="15" customHeight="1">
      <c r="A112" s="373"/>
      <c r="B112" s="70"/>
      <c r="C112" s="70"/>
      <c r="D112" s="70"/>
    </row>
    <row r="113" spans="1:4" s="15" customFormat="1" ht="15" customHeight="1">
      <c r="A113" s="373"/>
      <c r="B113" s="70"/>
      <c r="C113" s="70"/>
      <c r="D113" s="70"/>
    </row>
    <row r="114" spans="1:4" s="15" customFormat="1" ht="15" customHeight="1">
      <c r="A114" s="373"/>
      <c r="B114" s="70"/>
      <c r="C114" s="70"/>
      <c r="D114" s="70"/>
    </row>
    <row r="115" spans="1:4" s="15" customFormat="1" ht="15" customHeight="1">
      <c r="A115" s="373"/>
      <c r="B115" s="70"/>
      <c r="C115" s="70"/>
      <c r="D115" s="70"/>
    </row>
    <row r="116" spans="1:4" s="15" customFormat="1" ht="15" customHeight="1">
      <c r="A116" s="373"/>
      <c r="B116" s="70"/>
      <c r="C116" s="70"/>
      <c r="D116" s="70"/>
    </row>
    <row r="117" spans="1:4" s="15" customFormat="1" ht="15" customHeight="1">
      <c r="A117" s="373"/>
      <c r="B117" s="70"/>
      <c r="C117" s="70"/>
      <c r="D117" s="70"/>
    </row>
    <row r="118" spans="1:4" s="15" customFormat="1" ht="15" customHeight="1">
      <c r="A118" s="373"/>
      <c r="B118" s="70"/>
      <c r="C118" s="70"/>
      <c r="D118" s="70"/>
    </row>
    <row r="119" spans="1:4" s="15" customFormat="1" ht="15" customHeight="1">
      <c r="A119" s="373"/>
      <c r="B119" s="70"/>
      <c r="C119" s="70"/>
      <c r="D119" s="70"/>
    </row>
    <row r="120" spans="1:4" s="15" customFormat="1" ht="15" customHeight="1">
      <c r="A120" s="373"/>
      <c r="B120" s="70"/>
      <c r="C120" s="70"/>
      <c r="D120" s="70"/>
    </row>
    <row r="121" spans="1:4" s="15" customFormat="1" ht="15" customHeight="1">
      <c r="A121" s="373"/>
      <c r="B121" s="70"/>
      <c r="C121" s="70"/>
      <c r="D121" s="70"/>
    </row>
    <row r="122" spans="1:4" s="15" customFormat="1" ht="15" customHeight="1">
      <c r="A122" s="373"/>
      <c r="B122" s="70"/>
      <c r="C122" s="70"/>
      <c r="D122" s="70"/>
    </row>
    <row r="123" spans="1:4" s="15" customFormat="1" ht="15" customHeight="1">
      <c r="A123" s="373"/>
      <c r="B123" s="70"/>
      <c r="C123" s="70"/>
      <c r="D123" s="70"/>
    </row>
    <row r="124" spans="1:4" s="15" customFormat="1" ht="15" customHeight="1">
      <c r="A124" s="373"/>
      <c r="B124" s="70"/>
      <c r="C124" s="70"/>
      <c r="D124" s="70"/>
    </row>
    <row r="125" spans="1:4" s="15" customFormat="1" ht="15" customHeight="1">
      <c r="A125" s="373"/>
      <c r="B125" s="70"/>
      <c r="C125" s="70"/>
      <c r="D125" s="70"/>
    </row>
    <row r="126" spans="1:4" s="15" customFormat="1" ht="15" customHeight="1">
      <c r="A126" s="373"/>
      <c r="B126" s="70"/>
      <c r="C126" s="70"/>
      <c r="D126" s="70"/>
    </row>
    <row r="127" spans="1:4" s="15" customFormat="1" ht="15" customHeight="1">
      <c r="A127" s="373"/>
      <c r="B127" s="70"/>
      <c r="C127" s="70"/>
      <c r="D127" s="70"/>
    </row>
    <row r="128" spans="1:4" s="15" customFormat="1" ht="15" customHeight="1">
      <c r="A128" s="373"/>
      <c r="B128" s="70"/>
      <c r="C128" s="70"/>
      <c r="D128" s="70"/>
    </row>
    <row r="129" spans="1:4" s="15" customFormat="1" ht="15" customHeight="1">
      <c r="A129" s="373"/>
      <c r="B129" s="70"/>
      <c r="C129" s="70"/>
      <c r="D129" s="70"/>
    </row>
    <row r="130" spans="1:4" s="15" customFormat="1" ht="15" customHeight="1">
      <c r="A130" s="373"/>
      <c r="B130" s="70"/>
      <c r="C130" s="70"/>
      <c r="D130" s="70"/>
    </row>
    <row r="131" spans="1:4" s="15" customFormat="1" ht="15" customHeight="1">
      <c r="A131" s="373"/>
      <c r="B131" s="70"/>
      <c r="C131" s="70"/>
      <c r="D131" s="70"/>
    </row>
    <row r="132" spans="1:4" s="15" customFormat="1" ht="15" customHeight="1">
      <c r="A132" s="373"/>
      <c r="B132" s="70"/>
      <c r="C132" s="70"/>
      <c r="D132" s="70"/>
    </row>
    <row r="133" spans="1:4" s="15" customFormat="1" ht="15" customHeight="1">
      <c r="A133" s="373"/>
      <c r="B133" s="70"/>
      <c r="C133" s="70"/>
      <c r="D133" s="70"/>
    </row>
    <row r="134" spans="1:4" s="15" customFormat="1" ht="15" customHeight="1">
      <c r="A134" s="373"/>
      <c r="B134" s="70"/>
      <c r="C134" s="70"/>
      <c r="D134" s="70"/>
    </row>
    <row r="135" spans="1:4" s="15" customFormat="1" ht="15" customHeight="1">
      <c r="A135" s="373"/>
      <c r="B135" s="70"/>
      <c r="C135" s="70"/>
      <c r="D135" s="70"/>
    </row>
    <row r="136" spans="1:4" s="15" customFormat="1" ht="15" customHeight="1">
      <c r="A136" s="373"/>
      <c r="B136" s="70"/>
      <c r="C136" s="70"/>
      <c r="D136" s="70"/>
    </row>
    <row r="137" spans="1:4" s="15" customFormat="1" ht="15" customHeight="1">
      <c r="A137" s="373"/>
      <c r="B137" s="70"/>
      <c r="C137" s="70"/>
      <c r="D137" s="70"/>
    </row>
    <row r="138" spans="1:4" s="15" customFormat="1" ht="15" customHeight="1">
      <c r="A138" s="373"/>
      <c r="B138" s="70"/>
      <c r="C138" s="70"/>
      <c r="D138" s="70"/>
    </row>
    <row r="139" spans="1:4" s="15" customFormat="1" ht="15" customHeight="1">
      <c r="A139" s="373"/>
      <c r="B139" s="70"/>
      <c r="C139" s="70"/>
      <c r="D139" s="70"/>
    </row>
    <row r="140" spans="1:4" s="15" customFormat="1" ht="15" customHeight="1">
      <c r="A140" s="373"/>
      <c r="B140" s="70"/>
      <c r="C140" s="70"/>
      <c r="D140" s="70"/>
    </row>
    <row r="141" spans="1:4" s="15" customFormat="1" ht="15" customHeight="1">
      <c r="A141" s="373"/>
      <c r="B141" s="70"/>
      <c r="C141" s="70"/>
      <c r="D141" s="70"/>
    </row>
    <row r="142" spans="1:4" s="15" customFormat="1" ht="15" customHeight="1">
      <c r="A142" s="373"/>
      <c r="B142" s="70"/>
      <c r="C142" s="70"/>
      <c r="D142" s="70"/>
    </row>
    <row r="143" spans="1:4" s="15" customFormat="1" ht="15" customHeight="1">
      <c r="A143" s="373"/>
      <c r="B143" s="70"/>
      <c r="C143" s="70"/>
      <c r="D143" s="70"/>
    </row>
    <row r="144" spans="1:4" s="15" customFormat="1" ht="15" customHeight="1">
      <c r="A144" s="373"/>
      <c r="B144" s="70"/>
      <c r="C144" s="70"/>
      <c r="D144" s="70"/>
    </row>
    <row r="145" spans="1:4" s="15" customFormat="1" ht="15" customHeight="1">
      <c r="A145" s="373"/>
      <c r="B145" s="70"/>
      <c r="C145" s="70"/>
      <c r="D145" s="70"/>
    </row>
    <row r="146" spans="1:4" s="15" customFormat="1" ht="15" customHeight="1">
      <c r="A146" s="373"/>
      <c r="B146" s="70"/>
      <c r="C146" s="70"/>
      <c r="D146" s="70"/>
    </row>
    <row r="147" spans="1:4" s="15" customFormat="1" ht="15" customHeight="1">
      <c r="A147" s="373"/>
      <c r="B147" s="70"/>
      <c r="C147" s="70"/>
      <c r="D147" s="70"/>
    </row>
    <row r="148" spans="1:4" s="15" customFormat="1" ht="15" customHeight="1">
      <c r="A148" s="373"/>
      <c r="B148" s="70"/>
      <c r="C148" s="70"/>
      <c r="D148" s="70"/>
    </row>
    <row r="149" spans="1:4" s="15" customFormat="1" ht="15" customHeight="1">
      <c r="A149" s="373"/>
      <c r="B149" s="70"/>
      <c r="C149" s="70"/>
      <c r="D149" s="70"/>
    </row>
    <row r="150" spans="1:4" s="15" customFormat="1" ht="15" customHeight="1">
      <c r="A150" s="373"/>
      <c r="B150" s="70"/>
      <c r="C150" s="70"/>
      <c r="D150" s="70"/>
    </row>
    <row r="151" spans="1:4" s="15" customFormat="1" ht="15" customHeight="1">
      <c r="A151" s="373"/>
      <c r="B151" s="70"/>
      <c r="C151" s="70"/>
      <c r="D151" s="70"/>
    </row>
    <row r="152" spans="2:4" s="15" customFormat="1" ht="15" customHeight="1">
      <c r="B152" s="70"/>
      <c r="C152" s="70"/>
      <c r="D152" s="70"/>
    </row>
    <row r="153" spans="2:4" s="15" customFormat="1" ht="15" customHeight="1">
      <c r="B153" s="70"/>
      <c r="C153" s="70"/>
      <c r="D153" s="70"/>
    </row>
    <row r="154" spans="2:4" s="15" customFormat="1" ht="15" customHeight="1">
      <c r="B154" s="70"/>
      <c r="C154" s="70"/>
      <c r="D154" s="70"/>
    </row>
  </sheetData>
  <mergeCells count="5">
    <mergeCell ref="A5:D5"/>
    <mergeCell ref="A1:D1"/>
    <mergeCell ref="A2:D2"/>
    <mergeCell ref="A3:D3"/>
    <mergeCell ref="A4:D4"/>
  </mergeCells>
  <printOptions horizontalCentered="1"/>
  <pageMargins left="0.5" right="0.5" top="0.75" bottom="0.5" header="0.5" footer="0"/>
  <pageSetup horizontalDpi="600" verticalDpi="600" orientation="portrait" scale="80" r:id="rId1"/>
  <headerFooter alignWithMargins="0">
    <oddFooter>&amp;CPage 5
</oddFooter>
  </headerFooter>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A1" sqref="A1:G1"/>
    </sheetView>
  </sheetViews>
  <sheetFormatPr defaultColWidth="9.140625" defaultRowHeight="12.75"/>
  <cols>
    <col min="1" max="1" width="41.421875" style="19" customWidth="1"/>
    <col min="2" max="4" width="17.7109375" style="182" customWidth="1"/>
    <col min="5" max="5" width="16.00390625" style="338" hidden="1" customWidth="1"/>
    <col min="6" max="6" width="14.00390625" style="339" hidden="1" customWidth="1"/>
    <col min="7" max="8" width="0" style="338" hidden="1" customWidth="1"/>
    <col min="9" max="16384" width="9.140625" style="19" customWidth="1"/>
  </cols>
  <sheetData>
    <row r="1" spans="1:8" s="112" customFormat="1" ht="27" customHeight="1">
      <c r="A1" s="516" t="s">
        <v>166</v>
      </c>
      <c r="B1" s="517"/>
      <c r="C1" s="517"/>
      <c r="D1" s="518"/>
      <c r="E1" s="521"/>
      <c r="F1" s="521"/>
      <c r="G1" s="521"/>
      <c r="H1" s="522"/>
    </row>
    <row r="2" spans="1:8" s="30" customFormat="1" ht="18" customHeight="1">
      <c r="A2" s="519"/>
      <c r="B2" s="508"/>
      <c r="C2" s="508"/>
      <c r="D2" s="520"/>
      <c r="E2" s="333"/>
      <c r="F2" s="334"/>
      <c r="G2" s="333"/>
      <c r="H2" s="333"/>
    </row>
    <row r="3" spans="1:8" s="30" customFormat="1" ht="15.75">
      <c r="A3" s="514" t="s">
        <v>155</v>
      </c>
      <c r="B3" s="510"/>
      <c r="C3" s="510"/>
      <c r="D3" s="515"/>
      <c r="E3" s="333"/>
      <c r="F3" s="334"/>
      <c r="G3" s="333"/>
      <c r="H3" s="333"/>
    </row>
    <row r="4" spans="1:8" s="30" customFormat="1" ht="15.75">
      <c r="A4" s="514" t="s">
        <v>230</v>
      </c>
      <c r="B4" s="510"/>
      <c r="C4" s="510"/>
      <c r="D4" s="515"/>
      <c r="E4" s="333"/>
      <c r="F4" s="334"/>
      <c r="G4" s="333"/>
      <c r="H4" s="333"/>
    </row>
    <row r="5" spans="1:8" s="30" customFormat="1" ht="15.75">
      <c r="A5" s="514" t="s">
        <v>295</v>
      </c>
      <c r="B5" s="510"/>
      <c r="C5" s="510"/>
      <c r="D5" s="515"/>
      <c r="E5" s="333"/>
      <c r="F5" s="334"/>
      <c r="G5" s="333"/>
      <c r="H5" s="333"/>
    </row>
    <row r="6" spans="1:8" s="30" customFormat="1" ht="15" customHeight="1">
      <c r="A6" s="105"/>
      <c r="B6" s="159"/>
      <c r="C6" s="159"/>
      <c r="D6" s="186"/>
      <c r="E6" s="333"/>
      <c r="F6" s="334"/>
      <c r="G6" s="333"/>
      <c r="H6" s="333"/>
    </row>
    <row r="7" spans="1:8" s="15" customFormat="1" ht="15" customHeight="1">
      <c r="A7" s="106"/>
      <c r="B7" s="159"/>
      <c r="C7" s="159"/>
      <c r="D7" s="186"/>
      <c r="E7" s="160"/>
      <c r="F7" s="335"/>
      <c r="G7" s="160"/>
      <c r="H7" s="160"/>
    </row>
    <row r="8" spans="1:8" s="15" customFormat="1" ht="15">
      <c r="A8" s="107" t="s">
        <v>231</v>
      </c>
      <c r="B8" s="178" t="s">
        <v>305</v>
      </c>
      <c r="C8" s="183"/>
      <c r="D8" s="187"/>
      <c r="E8" s="160"/>
      <c r="F8" s="336" t="s">
        <v>256</v>
      </c>
      <c r="G8" s="160"/>
      <c r="H8" s="160"/>
    </row>
    <row r="9" spans="1:8" s="15" customFormat="1" ht="15">
      <c r="A9" s="107"/>
      <c r="B9" s="179" t="s">
        <v>25</v>
      </c>
      <c r="C9" s="184"/>
      <c r="D9" s="188"/>
      <c r="E9" s="160"/>
      <c r="F9" s="337" t="s">
        <v>141</v>
      </c>
      <c r="G9" s="160"/>
      <c r="H9" s="160"/>
    </row>
    <row r="10" spans="1:8" s="15" customFormat="1" ht="15" customHeight="1">
      <c r="A10" s="89"/>
      <c r="B10" s="207" t="s">
        <v>176</v>
      </c>
      <c r="C10" s="211"/>
      <c r="D10" s="212"/>
      <c r="E10" s="160"/>
      <c r="F10" s="335"/>
      <c r="G10" s="160"/>
      <c r="H10" s="160"/>
    </row>
    <row r="11" spans="1:8" s="15" customFormat="1" ht="15" customHeight="1">
      <c r="A11" s="90" t="s">
        <v>232</v>
      </c>
      <c r="B11" s="208"/>
      <c r="C11" s="414">
        <f>'Premiums YTD-p8'!G11</f>
        <v>21147565</v>
      </c>
      <c r="D11" s="189"/>
      <c r="E11" s="318">
        <v>16190670</v>
      </c>
      <c r="F11" s="335">
        <v>41000</v>
      </c>
      <c r="G11" s="160"/>
      <c r="H11" s="160"/>
    </row>
    <row r="12" spans="1:8" s="15" customFormat="1" ht="15" customHeight="1">
      <c r="A12" s="90"/>
      <c r="B12" s="208"/>
      <c r="C12" s="84"/>
      <c r="D12" s="189"/>
      <c r="E12" s="160"/>
      <c r="F12" s="335"/>
      <c r="G12" s="160"/>
      <c r="H12" s="160"/>
    </row>
    <row r="13" spans="1:8" s="15" customFormat="1" ht="15" customHeight="1">
      <c r="A13" s="91" t="s">
        <v>233</v>
      </c>
      <c r="B13" s="208">
        <f>'Premiums YTD-p8'!G17</f>
        <v>10749487</v>
      </c>
      <c r="C13" s="68"/>
      <c r="D13" s="189"/>
      <c r="E13" s="160"/>
      <c r="F13" s="335"/>
      <c r="G13" s="160"/>
      <c r="H13" s="160"/>
    </row>
    <row r="14" spans="1:8" s="15" customFormat="1" ht="15" customHeight="1">
      <c r="A14" s="91" t="s">
        <v>234</v>
      </c>
      <c r="B14" s="209">
        <f>'Premiums YTD-p8'!G23</f>
        <v>8897126</v>
      </c>
      <c r="C14" s="68"/>
      <c r="D14" s="189"/>
      <c r="E14" s="160"/>
      <c r="F14" s="335"/>
      <c r="G14" s="160"/>
      <c r="H14" s="160"/>
    </row>
    <row r="15" spans="1:8" s="15" customFormat="1" ht="15" customHeight="1">
      <c r="A15" s="91" t="s">
        <v>235</v>
      </c>
      <c r="B15" s="208"/>
      <c r="C15" s="180">
        <f>B14-B13</f>
        <v>-1852361</v>
      </c>
      <c r="D15" s="189"/>
      <c r="E15" s="160"/>
      <c r="F15" s="335">
        <v>41100</v>
      </c>
      <c r="G15" s="160"/>
      <c r="H15" s="160"/>
    </row>
    <row r="16" spans="1:8" s="15" customFormat="1" ht="15" customHeight="1">
      <c r="A16" s="90" t="s">
        <v>236</v>
      </c>
      <c r="B16" s="208"/>
      <c r="C16" s="68"/>
      <c r="D16" s="415">
        <f>C11+C15</f>
        <v>19295204</v>
      </c>
      <c r="E16" s="318">
        <f>+'Premiums YTD-p8'!G29</f>
        <v>19295204</v>
      </c>
      <c r="F16" s="335"/>
      <c r="G16" s="160"/>
      <c r="H16" s="160"/>
    </row>
    <row r="17" spans="1:8" s="15" customFormat="1" ht="15" customHeight="1">
      <c r="A17" s="91" t="s">
        <v>237</v>
      </c>
      <c r="B17" s="208"/>
      <c r="C17" s="68">
        <f>'[7]Loss Expenses Paid YTD-p17'!E43</f>
        <v>12399198.73</v>
      </c>
      <c r="D17" s="189"/>
      <c r="E17" s="160"/>
      <c r="F17" s="335" t="s">
        <v>257</v>
      </c>
      <c r="G17" s="160"/>
      <c r="H17" s="160"/>
    </row>
    <row r="18" spans="1:8" s="15" customFormat="1" ht="15" customHeight="1">
      <c r="A18" s="91" t="s">
        <v>40</v>
      </c>
      <c r="B18" s="208"/>
      <c r="C18" s="180">
        <f>-'[7]Trial Balance'!F266</f>
        <v>128417.52000000002</v>
      </c>
      <c r="D18" s="189"/>
      <c r="E18" s="160"/>
      <c r="F18" s="335">
        <v>51108</v>
      </c>
      <c r="G18" s="160"/>
      <c r="H18" s="160"/>
    </row>
    <row r="19" spans="1:8" s="15" customFormat="1" ht="15" customHeight="1">
      <c r="A19" s="90" t="s">
        <v>238</v>
      </c>
      <c r="B19" s="208"/>
      <c r="C19" s="68">
        <f>C17-C18</f>
        <v>12270781.21</v>
      </c>
      <c r="D19" s="189"/>
      <c r="E19" s="160"/>
      <c r="F19" s="335"/>
      <c r="G19" s="160"/>
      <c r="H19" s="160"/>
    </row>
    <row r="20" spans="1:8" s="15" customFormat="1" ht="15" customHeight="1">
      <c r="A20" s="91" t="s">
        <v>239</v>
      </c>
      <c r="B20" s="208">
        <f>'Losses Incurred YTD-p10'!G18</f>
        <v>7240545.76</v>
      </c>
      <c r="C20" s="68" t="s">
        <v>176</v>
      </c>
      <c r="D20" s="189"/>
      <c r="E20" s="160"/>
      <c r="F20" s="335"/>
      <c r="G20" s="160"/>
      <c r="H20" s="160"/>
    </row>
    <row r="21" spans="1:8" s="15" customFormat="1" ht="15" customHeight="1">
      <c r="A21" s="91" t="s">
        <v>240</v>
      </c>
      <c r="B21" s="209">
        <f>'Losses Incurred YTD-p10'!G24</f>
        <v>5587476.6899999995</v>
      </c>
      <c r="C21" s="68"/>
      <c r="D21" s="189"/>
      <c r="E21" s="160"/>
      <c r="F21" s="335"/>
      <c r="G21" s="160"/>
      <c r="H21" s="160"/>
    </row>
    <row r="22" spans="1:8" s="15" customFormat="1" ht="15" customHeight="1">
      <c r="A22" s="91" t="s">
        <v>241</v>
      </c>
      <c r="B22" s="210"/>
      <c r="C22" s="180">
        <f>B20-B21</f>
        <v>1653069.0700000003</v>
      </c>
      <c r="D22" s="189"/>
      <c r="E22" s="160"/>
      <c r="F22" s="335" t="s">
        <v>258</v>
      </c>
      <c r="G22" s="160"/>
      <c r="H22" s="160"/>
    </row>
    <row r="23" spans="1:8" s="15" customFormat="1" ht="15" customHeight="1">
      <c r="A23" s="90" t="s">
        <v>242</v>
      </c>
      <c r="B23" s="208"/>
      <c r="C23" s="68"/>
      <c r="D23" s="189">
        <f>C19+C22</f>
        <v>13923850.280000001</v>
      </c>
      <c r="E23" s="160">
        <f>+'Losses Incurred YTD-p10'!G30</f>
        <v>13923850.28</v>
      </c>
      <c r="F23" s="335"/>
      <c r="G23" s="160"/>
      <c r="H23" s="160"/>
    </row>
    <row r="24" spans="1:8" s="15" customFormat="1" ht="15" customHeight="1">
      <c r="A24" s="91" t="s">
        <v>243</v>
      </c>
      <c r="B24" s="208"/>
      <c r="C24" s="68">
        <f>'[7]Loss Expenses Paid YTD-p17'!C43</f>
        <v>1075410.5899999999</v>
      </c>
      <c r="D24" s="189"/>
      <c r="E24" s="160"/>
      <c r="F24" s="335">
        <v>51200</v>
      </c>
      <c r="G24" s="160"/>
      <c r="H24" s="160"/>
    </row>
    <row r="25" spans="1:8" s="15" customFormat="1" ht="15" customHeight="1">
      <c r="A25" s="91" t="s">
        <v>244</v>
      </c>
      <c r="B25" s="208"/>
      <c r="C25" s="180">
        <f>'[7]Loss Expenses Paid YTD-p17'!I43</f>
        <v>495387.38999999996</v>
      </c>
      <c r="D25" s="189"/>
      <c r="E25" s="160"/>
      <c r="F25" s="335">
        <v>51300</v>
      </c>
      <c r="G25" s="160"/>
      <c r="H25" s="160"/>
    </row>
    <row r="26" spans="1:8" s="15" customFormat="1" ht="15" customHeight="1">
      <c r="A26" s="90" t="s">
        <v>245</v>
      </c>
      <c r="B26" s="208"/>
      <c r="C26" s="68">
        <f>C24+C25</f>
        <v>1570797.9799999997</v>
      </c>
      <c r="D26" s="189"/>
      <c r="E26" s="160"/>
      <c r="F26" s="335"/>
      <c r="G26" s="160"/>
      <c r="H26" s="160"/>
    </row>
    <row r="27" spans="1:8" s="15" customFormat="1" ht="15" customHeight="1">
      <c r="A27" s="91" t="s">
        <v>246</v>
      </c>
      <c r="B27" s="208">
        <f>'Loss Expenses YTD-p12'!G18</f>
        <v>717188.3200000001</v>
      </c>
      <c r="C27" s="68"/>
      <c r="D27" s="189"/>
      <c r="E27" s="160"/>
      <c r="F27" s="335"/>
      <c r="G27" s="160"/>
      <c r="H27" s="160"/>
    </row>
    <row r="28" spans="1:8" s="15" customFormat="1" ht="15" customHeight="1">
      <c r="A28" s="91" t="s">
        <v>247</v>
      </c>
      <c r="B28" s="209">
        <f>'Loss Expenses YTD-p12'!G24</f>
        <v>474837.22</v>
      </c>
      <c r="C28" s="68"/>
      <c r="D28" s="189"/>
      <c r="E28" s="160"/>
      <c r="F28" s="335"/>
      <c r="G28" s="160"/>
      <c r="H28" s="160"/>
    </row>
    <row r="29" spans="1:8" s="15" customFormat="1" ht="15" customHeight="1">
      <c r="A29" s="91" t="s">
        <v>248</v>
      </c>
      <c r="B29" s="208"/>
      <c r="C29" s="180">
        <f>B27-B28</f>
        <v>242351.1000000001</v>
      </c>
      <c r="D29" s="189"/>
      <c r="E29" s="160"/>
      <c r="F29" s="335" t="s">
        <v>259</v>
      </c>
      <c r="G29" s="160"/>
      <c r="H29" s="160"/>
    </row>
    <row r="30" spans="1:8" s="15" customFormat="1" ht="15" customHeight="1">
      <c r="A30" s="90" t="s">
        <v>249</v>
      </c>
      <c r="B30" s="208"/>
      <c r="C30" s="68"/>
      <c r="D30" s="191">
        <f>C26+C29</f>
        <v>1813149.0799999998</v>
      </c>
      <c r="E30" s="160">
        <f>+'Loss Expenses YTD-p12'!G30</f>
        <v>1813149.0799999998</v>
      </c>
      <c r="F30" s="335"/>
      <c r="G30" s="160"/>
      <c r="H30" s="160"/>
    </row>
    <row r="31" spans="1:8" s="15" customFormat="1" ht="15" customHeight="1">
      <c r="A31" s="90" t="s">
        <v>250</v>
      </c>
      <c r="B31" s="208"/>
      <c r="C31" s="68"/>
      <c r="D31" s="434">
        <f>D23+D30</f>
        <v>15736999.360000001</v>
      </c>
      <c r="E31" s="160"/>
      <c r="F31" s="335"/>
      <c r="G31" s="160"/>
      <c r="H31" s="160"/>
    </row>
    <row r="32" spans="1:8" s="15" customFormat="1" ht="15" customHeight="1">
      <c r="A32" s="91" t="s">
        <v>251</v>
      </c>
      <c r="B32" s="208"/>
      <c r="C32" s="68">
        <f>23108.63+6478.27+20347.1+31050+1800</f>
        <v>82784</v>
      </c>
      <c r="D32" s="189"/>
      <c r="E32" s="160"/>
      <c r="F32" s="335"/>
      <c r="G32" s="160"/>
      <c r="H32" s="160"/>
    </row>
    <row r="33" spans="1:8" s="15" customFormat="1" ht="15" customHeight="1">
      <c r="A33" s="91" t="s">
        <v>252</v>
      </c>
      <c r="B33" s="208">
        <f>-'[7]Trial Balance'!F127-'[7]Trial Balance'!F129</f>
        <v>61134.57</v>
      </c>
      <c r="C33" s="68"/>
      <c r="D33" s="189"/>
      <c r="E33" s="160"/>
      <c r="F33" s="335">
        <v>24000</v>
      </c>
      <c r="G33" s="160"/>
      <c r="H33" s="160"/>
    </row>
    <row r="34" spans="1:8" s="15" customFormat="1" ht="15" customHeight="1">
      <c r="A34" s="91" t="s">
        <v>253</v>
      </c>
      <c r="B34" s="209">
        <f>'[8]Earned Incurred YTD-p6'!$B$34</f>
        <v>46320</v>
      </c>
      <c r="C34" s="68" t="s">
        <v>176</v>
      </c>
      <c r="D34" s="189"/>
      <c r="E34" s="160"/>
      <c r="F34" s="335"/>
      <c r="G34" s="160"/>
      <c r="H34" s="160"/>
    </row>
    <row r="35" spans="1:8" s="15" customFormat="1" ht="15" customHeight="1">
      <c r="A35" s="91" t="s">
        <v>254</v>
      </c>
      <c r="B35" s="208"/>
      <c r="C35" s="180">
        <f>B33-B34</f>
        <v>14814.57</v>
      </c>
      <c r="D35" s="189"/>
      <c r="E35" s="160"/>
      <c r="F35" s="335"/>
      <c r="G35" s="160"/>
      <c r="H35" s="160"/>
    </row>
    <row r="36" spans="1:8" s="15" customFormat="1" ht="15" customHeight="1">
      <c r="A36" s="90" t="s">
        <v>255</v>
      </c>
      <c r="B36" s="208"/>
      <c r="C36" s="68" t="s">
        <v>176</v>
      </c>
      <c r="D36" s="189">
        <f>SUM(C32:C35)</f>
        <v>97598.57</v>
      </c>
      <c r="E36" s="160">
        <f>+'[1]TB06-30-03(Final)'!G576</f>
        <v>57630</v>
      </c>
      <c r="F36" s="335">
        <v>64000</v>
      </c>
      <c r="G36" s="160"/>
      <c r="H36" s="160"/>
    </row>
    <row r="37" spans="1:8" s="15" customFormat="1" ht="15" customHeight="1">
      <c r="A37" s="91" t="s">
        <v>135</v>
      </c>
      <c r="B37" s="208"/>
      <c r="C37" s="65"/>
      <c r="D37" s="193">
        <f>'[7]Trial Balance'!F393</f>
        <v>1890907.1999999995</v>
      </c>
      <c r="E37" s="160"/>
      <c r="F37" s="335" t="s">
        <v>260</v>
      </c>
      <c r="G37" s="160"/>
      <c r="H37" s="160"/>
    </row>
    <row r="38" spans="1:8" s="15" customFormat="1" ht="15" customHeight="1">
      <c r="A38" s="91" t="s">
        <v>157</v>
      </c>
      <c r="B38" s="208"/>
      <c r="C38" s="68">
        <f>'[7]Trial Balance'!F396+'[7]Trial Balance'!F398+'[7]Trial Balance'!F406</f>
        <v>381375.22000000003</v>
      </c>
      <c r="D38" s="189"/>
      <c r="E38" s="160"/>
      <c r="F38" s="335"/>
      <c r="G38" s="160"/>
      <c r="H38" s="160"/>
    </row>
    <row r="39" spans="1:8" s="15" customFormat="1" ht="15" customHeight="1">
      <c r="A39" s="91" t="s">
        <v>124</v>
      </c>
      <c r="B39" s="208"/>
      <c r="C39" s="185">
        <f>'[7]Trial Balance'!F699</f>
        <v>3964538.5699999975</v>
      </c>
      <c r="D39" s="189"/>
      <c r="E39" s="160"/>
      <c r="F39" s="335" t="s">
        <v>261</v>
      </c>
      <c r="G39" s="160"/>
      <c r="H39" s="160"/>
    </row>
    <row r="40" spans="1:8" s="15" customFormat="1" ht="15" customHeight="1">
      <c r="A40" s="90" t="s">
        <v>127</v>
      </c>
      <c r="B40" s="429"/>
      <c r="C40" s="65">
        <f>SUM(C38:C39)</f>
        <v>4345913.789999997</v>
      </c>
      <c r="D40" s="430"/>
      <c r="E40" s="160"/>
      <c r="F40" s="335" t="s">
        <v>262</v>
      </c>
      <c r="G40" s="160"/>
      <c r="H40" s="160"/>
    </row>
    <row r="41" spans="1:8" s="15" customFormat="1" ht="15" customHeight="1">
      <c r="A41" s="91" t="s">
        <v>252</v>
      </c>
      <c r="B41" s="208">
        <f>-'[7]Trial Balance'!F144</f>
        <v>293447.56</v>
      </c>
      <c r="C41" s="68"/>
      <c r="D41" s="189"/>
      <c r="E41" s="160"/>
      <c r="F41" s="335"/>
      <c r="G41" s="160"/>
      <c r="H41" s="160"/>
    </row>
    <row r="42" spans="1:8" s="15" customFormat="1" ht="15" customHeight="1">
      <c r="A42" s="91" t="s">
        <v>130</v>
      </c>
      <c r="B42" s="209">
        <f>'[8]Earned Incurred YTD-p6'!$B$42</f>
        <v>356304.2</v>
      </c>
      <c r="C42" s="68" t="s">
        <v>176</v>
      </c>
      <c r="D42" s="189"/>
      <c r="E42" s="160"/>
      <c r="F42" s="335"/>
      <c r="G42" s="160"/>
      <c r="H42" s="160"/>
    </row>
    <row r="43" spans="1:8" s="15" customFormat="1" ht="15" customHeight="1">
      <c r="A43" s="91" t="s">
        <v>125</v>
      </c>
      <c r="B43" s="208"/>
      <c r="C43" s="180">
        <f>B41-B42+1</f>
        <v>-62855.640000000014</v>
      </c>
      <c r="D43" s="189"/>
      <c r="E43" s="317">
        <f>+C38+C39+C43</f>
        <v>4283058.149999998</v>
      </c>
      <c r="F43" s="335"/>
      <c r="G43" s="160"/>
      <c r="H43" s="160"/>
    </row>
    <row r="44" spans="1:8" s="15" customFormat="1" ht="15" customHeight="1">
      <c r="A44" s="90" t="s">
        <v>156</v>
      </c>
      <c r="B44" s="208"/>
      <c r="C44" s="68"/>
      <c r="D44" s="191">
        <f>SUM(C40:C43)</f>
        <v>4283058.149999998</v>
      </c>
      <c r="E44" s="160"/>
      <c r="F44" s="335"/>
      <c r="G44" s="160"/>
      <c r="H44" s="160"/>
    </row>
    <row r="45" spans="1:8" s="15" customFormat="1" ht="15" customHeight="1">
      <c r="A45" s="90" t="s">
        <v>128</v>
      </c>
      <c r="B45" s="208"/>
      <c r="C45" s="68"/>
      <c r="D45" s="190">
        <f>SUM(D36:D44)</f>
        <v>6271563.919999997</v>
      </c>
      <c r="E45" s="160"/>
      <c r="F45" s="335"/>
      <c r="G45" s="160"/>
      <c r="H45" s="160"/>
    </row>
    <row r="46" spans="1:8" s="15" customFormat="1" ht="15" customHeight="1">
      <c r="A46" s="90" t="s">
        <v>129</v>
      </c>
      <c r="B46" s="208"/>
      <c r="C46" s="68"/>
      <c r="D46" s="435">
        <f>+D31+D45</f>
        <v>22008563.279999997</v>
      </c>
      <c r="E46" s="160"/>
      <c r="F46" s="335"/>
      <c r="G46" s="160"/>
      <c r="H46" s="160"/>
    </row>
    <row r="47" spans="1:8" s="15" customFormat="1" ht="15" customHeight="1">
      <c r="A47" s="90" t="s">
        <v>29</v>
      </c>
      <c r="B47" s="208"/>
      <c r="C47" s="68"/>
      <c r="D47" s="320">
        <f>D16-D46</f>
        <v>-2713359.2799999975</v>
      </c>
      <c r="E47" s="160"/>
      <c r="F47" s="335"/>
      <c r="G47" s="160"/>
      <c r="H47" s="160"/>
    </row>
    <row r="48" spans="1:8" s="15" customFormat="1" ht="15" customHeight="1">
      <c r="A48" s="91" t="s">
        <v>142</v>
      </c>
      <c r="B48" s="208"/>
      <c r="C48" s="68">
        <f>-'[7]Trial Balance'!F240-C51+1</f>
        <v>125505.29999999999</v>
      </c>
      <c r="D48" s="189"/>
      <c r="E48" s="160"/>
      <c r="F48" s="335" t="s">
        <v>264</v>
      </c>
      <c r="G48" s="160"/>
      <c r="H48" s="160"/>
    </row>
    <row r="49" spans="1:8" s="15" customFormat="1" ht="15" customHeight="1">
      <c r="A49" s="91" t="s">
        <v>269</v>
      </c>
      <c r="B49" s="208">
        <f>'[7]Trial Balance'!F19</f>
        <v>8748.01</v>
      </c>
      <c r="C49" s="68"/>
      <c r="D49" s="189"/>
      <c r="E49" s="160"/>
      <c r="F49" s="335">
        <v>12150</v>
      </c>
      <c r="G49" s="160"/>
      <c r="H49" s="160"/>
    </row>
    <row r="50" spans="1:8" s="15" customFormat="1" ht="15" customHeight="1">
      <c r="A50" s="91" t="s">
        <v>270</v>
      </c>
      <c r="B50" s="209">
        <f>'[8]Earned Incurred YTD-p6'!$B$50</f>
        <v>17083.95</v>
      </c>
      <c r="C50" s="68" t="s">
        <v>176</v>
      </c>
      <c r="D50" s="189"/>
      <c r="E50" s="160"/>
      <c r="F50" s="335"/>
      <c r="G50" s="160"/>
      <c r="H50" s="160"/>
    </row>
    <row r="51" spans="1:8" s="15" customFormat="1" ht="15" customHeight="1">
      <c r="A51" s="91" t="s">
        <v>271</v>
      </c>
      <c r="B51" s="208"/>
      <c r="C51" s="180">
        <f>B49-B50</f>
        <v>-8335.94</v>
      </c>
      <c r="D51" s="192"/>
      <c r="E51" s="160"/>
      <c r="F51" s="335"/>
      <c r="G51" s="160"/>
      <c r="H51" s="160"/>
    </row>
    <row r="52" spans="1:8" s="15" customFormat="1" ht="15" customHeight="1">
      <c r="A52" s="90" t="s">
        <v>143</v>
      </c>
      <c r="B52" s="208"/>
      <c r="C52" s="68"/>
      <c r="D52" s="213">
        <f>C48+C51</f>
        <v>117169.35999999999</v>
      </c>
      <c r="E52" s="160">
        <f>+'[1]TB06-30-03(Final)'!G323</f>
        <v>-62436.520000000004</v>
      </c>
      <c r="F52" s="335" t="s">
        <v>263</v>
      </c>
      <c r="G52" s="160"/>
      <c r="H52" s="160"/>
    </row>
    <row r="53" spans="1:8" s="15" customFormat="1" ht="15" customHeight="1">
      <c r="A53" s="88"/>
      <c r="B53" s="208"/>
      <c r="C53" s="68"/>
      <c r="D53" s="192"/>
      <c r="E53" s="160"/>
      <c r="F53" s="335"/>
      <c r="G53" s="160"/>
      <c r="H53" s="160"/>
    </row>
    <row r="54" spans="1:8" s="15" customFormat="1" ht="15" customHeight="1">
      <c r="A54" s="92" t="s">
        <v>30</v>
      </c>
      <c r="B54" s="209"/>
      <c r="C54" s="180"/>
      <c r="D54" s="415">
        <f>D47+D52</f>
        <v>-2596189.9199999976</v>
      </c>
      <c r="E54" s="160"/>
      <c r="F54" s="335" t="s">
        <v>31</v>
      </c>
      <c r="G54" s="160"/>
      <c r="H54" s="160"/>
    </row>
    <row r="55" spans="1:8" ht="12.75">
      <c r="A55" s="35"/>
      <c r="D55" s="338"/>
      <c r="E55" s="19"/>
      <c r="F55" s="19"/>
      <c r="G55" s="19"/>
      <c r="H55" s="19"/>
    </row>
    <row r="56" spans="1:8" ht="12.75">
      <c r="A56" s="35"/>
      <c r="D56" s="436"/>
      <c r="E56" s="19"/>
      <c r="F56" s="19"/>
      <c r="G56" s="19"/>
      <c r="H56" s="19"/>
    </row>
    <row r="57" ht="12.75">
      <c r="A57" s="35"/>
    </row>
    <row r="58" ht="12.75">
      <c r="A58" s="35"/>
    </row>
    <row r="59" ht="12.75">
      <c r="A59" s="35"/>
    </row>
    <row r="60" ht="12.75">
      <c r="A60" s="35"/>
    </row>
    <row r="61" ht="12.75">
      <c r="A61" s="35"/>
    </row>
  </sheetData>
  <mergeCells count="6">
    <mergeCell ref="E1:H1"/>
    <mergeCell ref="A5:D5"/>
    <mergeCell ref="A1:D1"/>
    <mergeCell ref="A2:D2"/>
    <mergeCell ref="A3:D3"/>
    <mergeCell ref="A4:D4"/>
  </mergeCells>
  <printOptions horizontalCentered="1"/>
  <pageMargins left="0.5" right="0.5" top="0.75" bottom="0.5" header="0.5" footer="0"/>
  <pageSetup horizontalDpi="600" verticalDpi="600" orientation="portrait" scale="80" r:id="rId1"/>
  <headerFooter alignWithMargins="0">
    <oddFooter>&amp;CPage 6</oddFooter>
  </headerFooter>
</worksheet>
</file>

<file path=xl/worksheets/sheet8.xml><?xml version="1.0" encoding="utf-8"?>
<worksheet xmlns="http://schemas.openxmlformats.org/spreadsheetml/2006/main" xmlns:r="http://schemas.openxmlformats.org/officeDocument/2006/relationships">
  <dimension ref="A1:T191"/>
  <sheetViews>
    <sheetView workbookViewId="0" topLeftCell="A1">
      <selection activeCell="A1" sqref="A1:G1"/>
    </sheetView>
  </sheetViews>
  <sheetFormatPr defaultColWidth="9.140625" defaultRowHeight="12.75"/>
  <cols>
    <col min="1" max="1" width="41.421875" style="1" customWidth="1"/>
    <col min="2" max="7" width="17.7109375" style="328" customWidth="1"/>
    <col min="8" max="9" width="17.7109375" style="1" customWidth="1"/>
    <col min="10" max="16384" width="9.140625" style="1" customWidth="1"/>
  </cols>
  <sheetData>
    <row r="1" spans="1:7" s="111" customFormat="1" ht="25.5">
      <c r="A1" s="110" t="s">
        <v>166</v>
      </c>
      <c r="B1" s="325"/>
      <c r="C1" s="325"/>
      <c r="D1" s="325"/>
      <c r="E1" s="325"/>
      <c r="F1" s="325"/>
      <c r="G1" s="340"/>
    </row>
    <row r="2" spans="1:7" s="40" customFormat="1" ht="18" customHeight="1">
      <c r="A2" s="16"/>
      <c r="B2" s="326"/>
      <c r="C2" s="326"/>
      <c r="D2" s="326"/>
      <c r="E2" s="326"/>
      <c r="F2" s="326"/>
      <c r="G2" s="341"/>
    </row>
    <row r="3" spans="1:7" ht="18" customHeight="1">
      <c r="A3" s="363" t="s">
        <v>272</v>
      </c>
      <c r="B3" s="357"/>
      <c r="C3" s="357"/>
      <c r="D3" s="357"/>
      <c r="E3" s="357"/>
      <c r="F3" s="357"/>
      <c r="G3" s="370"/>
    </row>
    <row r="4" spans="1:7" ht="15.75">
      <c r="A4" s="363" t="s">
        <v>298</v>
      </c>
      <c r="B4" s="357"/>
      <c r="C4" s="357"/>
      <c r="D4" s="357"/>
      <c r="E4" s="357"/>
      <c r="F4" s="357"/>
      <c r="G4" s="370"/>
    </row>
    <row r="5" spans="1:7" s="6" customFormat="1" ht="15">
      <c r="A5" s="427" t="s">
        <v>0</v>
      </c>
      <c r="B5" s="327"/>
      <c r="C5" s="327"/>
      <c r="D5" s="327"/>
      <c r="E5" s="327"/>
      <c r="F5" s="327"/>
      <c r="G5" s="341"/>
    </row>
    <row r="6" spans="1:7" s="6" customFormat="1" ht="31.5" customHeight="1">
      <c r="A6" s="41"/>
      <c r="B6" s="329" t="s">
        <v>32</v>
      </c>
      <c r="C6" s="329" t="s">
        <v>33</v>
      </c>
      <c r="D6" s="329" t="s">
        <v>139</v>
      </c>
      <c r="E6" s="329" t="s">
        <v>154</v>
      </c>
      <c r="F6" s="329" t="s">
        <v>131</v>
      </c>
      <c r="G6" s="425" t="s">
        <v>167</v>
      </c>
    </row>
    <row r="7" spans="1:7" s="6" customFormat="1" ht="15.75" customHeight="1">
      <c r="A7" s="42" t="s">
        <v>273</v>
      </c>
      <c r="B7" s="330"/>
      <c r="C7" s="330"/>
      <c r="D7" s="330"/>
      <c r="E7" s="330"/>
      <c r="F7" s="330"/>
      <c r="G7" s="330"/>
    </row>
    <row r="8" spans="1:7" s="44" customFormat="1" ht="15.75" customHeight="1">
      <c r="A8" s="43" t="s">
        <v>20</v>
      </c>
      <c r="B8" s="226">
        <f>-'[7]Trial Balance'!C205</f>
        <v>4113704</v>
      </c>
      <c r="C8" s="226">
        <f>-'[7]Trial Balance'!C204</f>
        <v>-14493</v>
      </c>
      <c r="D8" s="226">
        <f>-'[7]Trial Balance'!C203</f>
        <v>-357</v>
      </c>
      <c r="E8" s="437">
        <f>-'[7]Trial Balance'!C202</f>
        <v>0</v>
      </c>
      <c r="F8" s="437">
        <v>0</v>
      </c>
      <c r="G8" s="406">
        <f>SUM(B8:F8)</f>
        <v>4098854</v>
      </c>
    </row>
    <row r="9" spans="1:7" s="6" customFormat="1" ht="15.75" customHeight="1">
      <c r="A9" s="45" t="s">
        <v>288</v>
      </c>
      <c r="B9" s="405">
        <f>-'[7]Trial Balance'!C210</f>
        <v>1274894</v>
      </c>
      <c r="C9" s="405">
        <f>-'[7]Trial Balance'!C209</f>
        <v>-4109</v>
      </c>
      <c r="D9" s="405">
        <f>-'[7]Trial Balance'!C208</f>
        <v>-129</v>
      </c>
      <c r="E9" s="404">
        <f>-'[7]Trial Balance'!C207</f>
        <v>0</v>
      </c>
      <c r="F9" s="404">
        <v>0</v>
      </c>
      <c r="G9" s="405">
        <f>SUM(B9:F9)</f>
        <v>1270656</v>
      </c>
    </row>
    <row r="10" spans="1:20" s="6" customFormat="1" ht="15.75" customHeight="1">
      <c r="A10" s="45" t="s">
        <v>1</v>
      </c>
      <c r="B10" s="405">
        <f>-'[7]Trial Balance'!C213</f>
        <v>16094</v>
      </c>
      <c r="C10" s="405">
        <f>-'[7]Trial Balance'!C212</f>
        <v>-152</v>
      </c>
      <c r="D10" s="404"/>
      <c r="E10" s="404"/>
      <c r="F10" s="404">
        <v>0</v>
      </c>
      <c r="G10" s="405">
        <f>SUM(B10:F10)</f>
        <v>15942</v>
      </c>
      <c r="H10" s="38"/>
      <c r="I10" s="38"/>
      <c r="J10" s="38"/>
      <c r="K10" s="38"/>
      <c r="L10" s="38"/>
      <c r="M10" s="38"/>
      <c r="N10" s="38"/>
      <c r="O10" s="38"/>
      <c r="P10" s="38"/>
      <c r="Q10" s="38"/>
      <c r="R10" s="38"/>
      <c r="S10" s="38"/>
      <c r="T10" s="38"/>
    </row>
    <row r="11" spans="1:20" s="23" customFormat="1" ht="15.75" customHeight="1" thickBot="1">
      <c r="A11" s="46" t="s">
        <v>277</v>
      </c>
      <c r="B11" s="407">
        <f>SUM(B8:B10)</f>
        <v>5404692</v>
      </c>
      <c r="C11" s="407">
        <f>SUM(C8:C10)</f>
        <v>-18754</v>
      </c>
      <c r="D11" s="408">
        <f>SUM(D8:D10)</f>
        <v>-486</v>
      </c>
      <c r="E11" s="409">
        <f>SUM(E8:E10)</f>
        <v>0</v>
      </c>
      <c r="F11" s="409">
        <f>SUM(F8:F10)</f>
        <v>0</v>
      </c>
      <c r="G11" s="433">
        <f>SUM(B11:F11)</f>
        <v>5385452</v>
      </c>
      <c r="H11" s="366"/>
      <c r="I11" s="366"/>
      <c r="J11" s="366"/>
      <c r="K11" s="366"/>
      <c r="L11" s="366"/>
      <c r="M11" s="366"/>
      <c r="N11" s="366"/>
      <c r="O11" s="366"/>
      <c r="P11" s="366"/>
      <c r="Q11" s="366"/>
      <c r="R11" s="366"/>
      <c r="S11" s="366"/>
      <c r="T11" s="366"/>
    </row>
    <row r="12" spans="1:20" s="23" customFormat="1" ht="15.75" customHeight="1" thickTop="1">
      <c r="A12" s="45"/>
      <c r="B12" s="343"/>
      <c r="C12" s="343"/>
      <c r="D12" s="343"/>
      <c r="E12" s="343"/>
      <c r="F12" s="343"/>
      <c r="G12" s="367"/>
      <c r="H12" s="366"/>
      <c r="I12" s="366"/>
      <c r="J12" s="366"/>
      <c r="K12" s="366"/>
      <c r="L12" s="366"/>
      <c r="M12" s="366"/>
      <c r="N12" s="366"/>
      <c r="O12" s="366"/>
      <c r="P12" s="366"/>
      <c r="Q12" s="366"/>
      <c r="R12" s="366"/>
      <c r="S12" s="366"/>
      <c r="T12" s="366"/>
    </row>
    <row r="13" spans="1:20" s="23" customFormat="1" ht="30" customHeight="1">
      <c r="A13" s="48" t="s">
        <v>303</v>
      </c>
      <c r="B13" s="343"/>
      <c r="C13" s="343"/>
      <c r="D13" s="343"/>
      <c r="E13" s="343"/>
      <c r="F13" s="343"/>
      <c r="G13" s="343"/>
      <c r="H13" s="366"/>
      <c r="I13" s="366"/>
      <c r="J13" s="366"/>
      <c r="K13" s="366"/>
      <c r="L13" s="366"/>
      <c r="M13" s="366"/>
      <c r="N13" s="366"/>
      <c r="O13" s="366"/>
      <c r="P13" s="366"/>
      <c r="Q13" s="366"/>
      <c r="R13" s="366"/>
      <c r="S13" s="366"/>
      <c r="T13" s="366"/>
    </row>
    <row r="14" spans="1:20" s="23" customFormat="1" ht="15.75" customHeight="1">
      <c r="A14" s="45" t="s">
        <v>20</v>
      </c>
      <c r="B14" s="405">
        <f>'Premiums YTD-p8'!B14</f>
        <v>8106000</v>
      </c>
      <c r="C14" s="404">
        <f>'Premiums YTD-p8'!C14</f>
        <v>0</v>
      </c>
      <c r="D14" s="404">
        <f>'Premiums YTD-p8'!D14</f>
        <v>0</v>
      </c>
      <c r="E14" s="404">
        <f>'Premiums YTD-p8'!E14</f>
        <v>0</v>
      </c>
      <c r="F14" s="404">
        <f>'Premiums YTD-p8'!F14</f>
        <v>0</v>
      </c>
      <c r="G14" s="405">
        <f>SUM(B14:F14)</f>
        <v>8106000</v>
      </c>
      <c r="H14" s="366"/>
      <c r="I14" s="366"/>
      <c r="J14" s="366"/>
      <c r="K14" s="366"/>
      <c r="L14" s="366"/>
      <c r="M14" s="366"/>
      <c r="N14" s="366"/>
      <c r="O14" s="366"/>
      <c r="P14" s="366"/>
      <c r="Q14" s="366"/>
      <c r="R14" s="366"/>
      <c r="S14" s="366"/>
      <c r="T14" s="366"/>
    </row>
    <row r="15" spans="1:20" s="23" customFormat="1" ht="15.75" customHeight="1">
      <c r="A15" s="45" t="s">
        <v>23</v>
      </c>
      <c r="B15" s="405">
        <f>'Premiums YTD-p8'!B15</f>
        <v>2607627</v>
      </c>
      <c r="C15" s="404">
        <f>'Premiums YTD-p8'!C15</f>
        <v>0</v>
      </c>
      <c r="D15" s="404">
        <f>'Premiums YTD-p8'!D15</f>
        <v>0</v>
      </c>
      <c r="E15" s="404">
        <f>'Premiums YTD-p8'!E15</f>
        <v>0</v>
      </c>
      <c r="F15" s="404">
        <f>'Premiums YTD-p8'!F15</f>
        <v>0</v>
      </c>
      <c r="G15" s="405">
        <f>SUM(B15:F15)</f>
        <v>2607627</v>
      </c>
      <c r="H15" s="366"/>
      <c r="I15" s="366"/>
      <c r="J15" s="366"/>
      <c r="K15" s="366"/>
      <c r="L15" s="366"/>
      <c r="M15" s="366"/>
      <c r="N15" s="366"/>
      <c r="O15" s="366"/>
      <c r="P15" s="366"/>
      <c r="Q15" s="366"/>
      <c r="R15" s="366"/>
      <c r="S15" s="366"/>
      <c r="T15" s="366"/>
    </row>
    <row r="16" spans="1:20" s="23" customFormat="1" ht="15.75" customHeight="1">
      <c r="A16" s="45" t="s">
        <v>13</v>
      </c>
      <c r="B16" s="405">
        <f>'Premiums YTD-p8'!B16</f>
        <v>35860</v>
      </c>
      <c r="C16" s="404">
        <f>'Premiums YTD-p8'!C16</f>
        <v>0</v>
      </c>
      <c r="D16" s="404">
        <f>'Premiums YTD-p8'!D16</f>
        <v>0</v>
      </c>
      <c r="E16" s="404">
        <f>'Premiums YTD-p8'!E16</f>
        <v>0</v>
      </c>
      <c r="F16" s="404">
        <f>'Premiums YTD-p8'!F16</f>
        <v>0</v>
      </c>
      <c r="G16" s="405">
        <f>SUM(B16:F16)</f>
        <v>35860</v>
      </c>
      <c r="H16" s="366"/>
      <c r="I16" s="366"/>
      <c r="J16" s="366"/>
      <c r="K16" s="366"/>
      <c r="L16" s="366"/>
      <c r="M16" s="366"/>
      <c r="N16" s="366"/>
      <c r="O16" s="366"/>
      <c r="P16" s="366"/>
      <c r="Q16" s="366"/>
      <c r="R16" s="366"/>
      <c r="S16" s="366"/>
      <c r="T16" s="366"/>
    </row>
    <row r="17" spans="1:20" s="23" customFormat="1" ht="15.75" customHeight="1" thickBot="1">
      <c r="A17" s="46" t="s">
        <v>277</v>
      </c>
      <c r="B17" s="407">
        <f aca="true" t="shared" si="0" ref="B17:G17">SUM(B14:B16)</f>
        <v>10749487</v>
      </c>
      <c r="C17" s="409">
        <f t="shared" si="0"/>
        <v>0</v>
      </c>
      <c r="D17" s="409">
        <f t="shared" si="0"/>
        <v>0</v>
      </c>
      <c r="E17" s="409">
        <f t="shared" si="0"/>
        <v>0</v>
      </c>
      <c r="F17" s="409">
        <f t="shared" si="0"/>
        <v>0</v>
      </c>
      <c r="G17" s="433">
        <f t="shared" si="0"/>
        <v>10749487</v>
      </c>
      <c r="H17" s="366"/>
      <c r="I17" s="366"/>
      <c r="J17" s="366"/>
      <c r="K17" s="366"/>
      <c r="L17" s="366"/>
      <c r="M17" s="366"/>
      <c r="N17" s="366"/>
      <c r="O17" s="366"/>
      <c r="P17" s="366"/>
      <c r="Q17" s="366"/>
      <c r="R17" s="366"/>
      <c r="S17" s="366"/>
      <c r="T17" s="366"/>
    </row>
    <row r="18" spans="1:20" s="23" customFormat="1" ht="15.75" customHeight="1" thickTop="1">
      <c r="A18" s="45"/>
      <c r="B18" s="343"/>
      <c r="C18" s="343"/>
      <c r="D18" s="343"/>
      <c r="E18" s="343"/>
      <c r="F18" s="343"/>
      <c r="G18" s="352"/>
      <c r="H18" s="366"/>
      <c r="I18" s="366"/>
      <c r="J18" s="366"/>
      <c r="K18" s="366"/>
      <c r="L18" s="366"/>
      <c r="M18" s="366"/>
      <c r="N18" s="366"/>
      <c r="O18" s="366"/>
      <c r="P18" s="366"/>
      <c r="Q18" s="366"/>
      <c r="R18" s="366"/>
      <c r="S18" s="366"/>
      <c r="T18" s="366"/>
    </row>
    <row r="19" spans="1:20" s="23" customFormat="1" ht="30" customHeight="1">
      <c r="A19" s="48" t="s">
        <v>304</v>
      </c>
      <c r="B19" s="343"/>
      <c r="C19" s="343"/>
      <c r="D19" s="343"/>
      <c r="E19" s="343"/>
      <c r="F19" s="343"/>
      <c r="G19" s="343"/>
      <c r="H19" s="366"/>
      <c r="I19" s="366"/>
      <c r="J19" s="366"/>
      <c r="K19" s="366"/>
      <c r="L19" s="366"/>
      <c r="M19" s="366"/>
      <c r="N19" s="366"/>
      <c r="O19" s="366"/>
      <c r="P19" s="366"/>
      <c r="Q19" s="366"/>
      <c r="R19" s="366"/>
      <c r="S19" s="366"/>
      <c r="T19" s="366"/>
    </row>
    <row r="20" spans="1:20" s="23" customFormat="1" ht="15.75" customHeight="1">
      <c r="A20" s="45" t="s">
        <v>20</v>
      </c>
      <c r="B20" s="405">
        <f>'[8]Premiums YTD-p8'!B14</f>
        <v>7523356</v>
      </c>
      <c r="C20" s="405">
        <f>'[8]Premiums YTD-p8'!C14</f>
        <v>414542</v>
      </c>
      <c r="D20" s="404">
        <f>'[8]Premiums YTD-p8'!D14</f>
        <v>0</v>
      </c>
      <c r="E20" s="404">
        <f>'[8]Premiums YTD-p8'!E14</f>
        <v>0</v>
      </c>
      <c r="F20" s="404">
        <f>'[8]Premiums YTD-p8'!F14</f>
        <v>0</v>
      </c>
      <c r="G20" s="405">
        <f>SUM(B20:F20)</f>
        <v>7937898</v>
      </c>
      <c r="H20" s="366"/>
      <c r="I20" s="366"/>
      <c r="J20" s="366"/>
      <c r="K20" s="366"/>
      <c r="L20" s="366"/>
      <c r="M20" s="366"/>
      <c r="N20" s="366"/>
      <c r="O20" s="366"/>
      <c r="P20" s="366"/>
      <c r="Q20" s="366"/>
      <c r="R20" s="366"/>
      <c r="S20" s="366"/>
      <c r="T20" s="366"/>
    </row>
    <row r="21" spans="1:20" s="23" customFormat="1" ht="15.75" customHeight="1">
      <c r="A21" s="45" t="s">
        <v>288</v>
      </c>
      <c r="B21" s="405">
        <f>'[8]Premiums YTD-p8'!B15</f>
        <v>2489941</v>
      </c>
      <c r="C21" s="405">
        <f>'[8]Premiums YTD-p8'!C15</f>
        <v>140633</v>
      </c>
      <c r="D21" s="404">
        <f>'[8]Premiums YTD-p8'!D15</f>
        <v>0</v>
      </c>
      <c r="E21" s="404">
        <f>'[8]Premiums YTD-p8'!E15</f>
        <v>0</v>
      </c>
      <c r="F21" s="404">
        <f>'[8]Premiums YTD-p8'!F15</f>
        <v>0</v>
      </c>
      <c r="G21" s="405">
        <f>SUM(B21:F21)</f>
        <v>2630574</v>
      </c>
      <c r="H21" s="366"/>
      <c r="I21" s="366"/>
      <c r="J21" s="366"/>
      <c r="K21" s="366"/>
      <c r="L21" s="366"/>
      <c r="M21" s="366"/>
      <c r="N21" s="366"/>
      <c r="O21" s="366"/>
      <c r="P21" s="366"/>
      <c r="Q21" s="366"/>
      <c r="R21" s="366"/>
      <c r="S21" s="366"/>
      <c r="T21" s="366"/>
    </row>
    <row r="22" spans="1:20" s="23" customFormat="1" ht="15.75" customHeight="1">
      <c r="A22" s="45" t="s">
        <v>1</v>
      </c>
      <c r="B22" s="405">
        <f>'[8]Premiums YTD-p8'!B16</f>
        <v>36470</v>
      </c>
      <c r="C22" s="405">
        <f>'[8]Premiums YTD-p8'!C16</f>
        <v>1949</v>
      </c>
      <c r="D22" s="404">
        <f>'[8]Premiums YTD-p8'!D16</f>
        <v>0</v>
      </c>
      <c r="E22" s="404">
        <f>'[8]Premiums YTD-p8'!E16</f>
        <v>0</v>
      </c>
      <c r="F22" s="404">
        <f>'[8]Premiums YTD-p8'!F16</f>
        <v>0</v>
      </c>
      <c r="G22" s="405">
        <f>SUM(B22:F22)</f>
        <v>38419</v>
      </c>
      <c r="H22" s="366"/>
      <c r="I22" s="366"/>
      <c r="J22" s="366"/>
      <c r="K22" s="366"/>
      <c r="L22" s="366"/>
      <c r="M22" s="366"/>
      <c r="N22" s="366"/>
      <c r="O22" s="366"/>
      <c r="P22" s="366"/>
      <c r="Q22" s="366"/>
      <c r="R22" s="366"/>
      <c r="S22" s="366"/>
      <c r="T22" s="366"/>
    </row>
    <row r="23" spans="1:20" s="23" customFormat="1" ht="15.75" customHeight="1" thickBot="1">
      <c r="A23" s="46" t="s">
        <v>277</v>
      </c>
      <c r="B23" s="407">
        <f aca="true" t="shared" si="1" ref="B23:G23">SUM(B20:B22)</f>
        <v>10049767</v>
      </c>
      <c r="C23" s="407">
        <f t="shared" si="1"/>
        <v>557124</v>
      </c>
      <c r="D23" s="409">
        <f t="shared" si="1"/>
        <v>0</v>
      </c>
      <c r="E23" s="409">
        <f t="shared" si="1"/>
        <v>0</v>
      </c>
      <c r="F23" s="409">
        <f t="shared" si="1"/>
        <v>0</v>
      </c>
      <c r="G23" s="433">
        <f t="shared" si="1"/>
        <v>10606891</v>
      </c>
      <c r="H23" s="366"/>
      <c r="I23" s="366"/>
      <c r="J23" s="366"/>
      <c r="K23" s="366"/>
      <c r="L23" s="366"/>
      <c r="M23" s="366"/>
      <c r="N23" s="366"/>
      <c r="O23" s="366"/>
      <c r="P23" s="366"/>
      <c r="Q23" s="366"/>
      <c r="R23" s="366"/>
      <c r="S23" s="366"/>
      <c r="T23" s="366"/>
    </row>
    <row r="24" spans="1:20" s="372" customFormat="1" ht="15.75" customHeight="1" thickTop="1">
      <c r="A24" s="119"/>
      <c r="B24" s="343"/>
      <c r="C24" s="343"/>
      <c r="D24" s="343"/>
      <c r="E24" s="343"/>
      <c r="F24" s="343"/>
      <c r="G24" s="367"/>
      <c r="H24" s="371"/>
      <c r="I24" s="371"/>
      <c r="J24" s="371"/>
      <c r="K24" s="371"/>
      <c r="L24" s="371"/>
      <c r="M24" s="371"/>
      <c r="N24" s="371"/>
      <c r="O24" s="371"/>
      <c r="P24" s="371"/>
      <c r="Q24" s="371"/>
      <c r="R24" s="371"/>
      <c r="S24" s="371"/>
      <c r="T24" s="371"/>
    </row>
    <row r="25" spans="1:20" s="23" customFormat="1" ht="15.75" customHeight="1">
      <c r="A25" s="48" t="s">
        <v>278</v>
      </c>
      <c r="B25" s="343"/>
      <c r="C25" s="343"/>
      <c r="D25" s="343"/>
      <c r="E25" s="343"/>
      <c r="F25" s="343"/>
      <c r="G25" s="343"/>
      <c r="H25" s="366"/>
      <c r="I25" s="366"/>
      <c r="J25" s="366"/>
      <c r="K25" s="366"/>
      <c r="L25" s="366"/>
      <c r="M25" s="366"/>
      <c r="N25" s="366"/>
      <c r="O25" s="366"/>
      <c r="P25" s="366"/>
      <c r="Q25" s="366"/>
      <c r="R25" s="366"/>
      <c r="S25" s="366"/>
      <c r="T25" s="366"/>
    </row>
    <row r="26" spans="1:20" s="23" customFormat="1" ht="15.75" customHeight="1">
      <c r="A26" s="45" t="s">
        <v>20</v>
      </c>
      <c r="B26" s="411">
        <f>B8-(B14-B20)</f>
        <v>3531060</v>
      </c>
      <c r="C26" s="411">
        <f aca="true" t="shared" si="2" ref="C26:D28">C8-(C14-C20)</f>
        <v>400049</v>
      </c>
      <c r="D26" s="405">
        <f t="shared" si="2"/>
        <v>-357</v>
      </c>
      <c r="E26" s="404">
        <f aca="true" t="shared" si="3" ref="E26:F28">E8-(E14-E20)</f>
        <v>0</v>
      </c>
      <c r="F26" s="404">
        <f t="shared" si="3"/>
        <v>0</v>
      </c>
      <c r="G26" s="405">
        <f>SUM(B26:F26)</f>
        <v>3930752</v>
      </c>
      <c r="H26" s="366"/>
      <c r="I26" s="366"/>
      <c r="J26" s="366"/>
      <c r="K26" s="366"/>
      <c r="L26" s="366"/>
      <c r="M26" s="366"/>
      <c r="N26" s="366"/>
      <c r="O26" s="366"/>
      <c r="P26" s="366"/>
      <c r="Q26" s="366"/>
      <c r="R26" s="366"/>
      <c r="S26" s="366"/>
      <c r="T26" s="366"/>
    </row>
    <row r="27" spans="1:20" s="23" customFormat="1" ht="15.75" customHeight="1">
      <c r="A27" s="45" t="s">
        <v>288</v>
      </c>
      <c r="B27" s="411">
        <f>B9-(B15-B21)</f>
        <v>1157208</v>
      </c>
      <c r="C27" s="411">
        <f t="shared" si="2"/>
        <v>136524</v>
      </c>
      <c r="D27" s="405">
        <f t="shared" si="2"/>
        <v>-129</v>
      </c>
      <c r="E27" s="404">
        <f t="shared" si="3"/>
        <v>0</v>
      </c>
      <c r="F27" s="404">
        <f t="shared" si="3"/>
        <v>0</v>
      </c>
      <c r="G27" s="405">
        <f>SUM(B27:F27)</f>
        <v>1293603</v>
      </c>
      <c r="H27" s="366"/>
      <c r="I27" s="366"/>
      <c r="J27" s="366"/>
      <c r="K27" s="366"/>
      <c r="L27" s="366"/>
      <c r="M27" s="366"/>
      <c r="N27" s="366"/>
      <c r="O27" s="366"/>
      <c r="P27" s="366"/>
      <c r="Q27" s="366"/>
      <c r="R27" s="366"/>
      <c r="S27" s="366"/>
      <c r="T27" s="366"/>
    </row>
    <row r="28" spans="1:20" s="23" customFormat="1" ht="15.75" customHeight="1">
      <c r="A28" s="49" t="s">
        <v>1</v>
      </c>
      <c r="B28" s="411">
        <f>B10-(B16-B22)</f>
        <v>16704</v>
      </c>
      <c r="C28" s="411">
        <f t="shared" si="2"/>
        <v>1797</v>
      </c>
      <c r="D28" s="404">
        <f t="shared" si="2"/>
        <v>0</v>
      </c>
      <c r="E28" s="404">
        <f t="shared" si="3"/>
        <v>0</v>
      </c>
      <c r="F28" s="404">
        <f>F10-(F16-F22)</f>
        <v>0</v>
      </c>
      <c r="G28" s="405">
        <f>SUM(B28:F28)</f>
        <v>18501</v>
      </c>
      <c r="H28" s="366"/>
      <c r="I28" s="366"/>
      <c r="J28" s="366"/>
      <c r="K28" s="366"/>
      <c r="L28" s="366"/>
      <c r="M28" s="366"/>
      <c r="N28" s="366"/>
      <c r="O28" s="366"/>
      <c r="P28" s="366"/>
      <c r="Q28" s="366"/>
      <c r="R28" s="366"/>
      <c r="S28" s="366"/>
      <c r="T28" s="366"/>
    </row>
    <row r="29" spans="1:20" s="23" customFormat="1" ht="15.75" customHeight="1" thickBot="1">
      <c r="A29" s="50" t="s">
        <v>277</v>
      </c>
      <c r="B29" s="205">
        <f aca="true" t="shared" si="4" ref="B29:G29">SUM(B26:B28)</f>
        <v>4704972</v>
      </c>
      <c r="C29" s="205">
        <f t="shared" si="4"/>
        <v>538370</v>
      </c>
      <c r="D29" s="205">
        <f t="shared" si="4"/>
        <v>-486</v>
      </c>
      <c r="E29" s="413">
        <f t="shared" si="4"/>
        <v>0</v>
      </c>
      <c r="F29" s="413">
        <f t="shared" si="4"/>
        <v>0</v>
      </c>
      <c r="G29" s="410">
        <f t="shared" si="4"/>
        <v>5242856</v>
      </c>
      <c r="H29" s="366"/>
      <c r="I29" s="366"/>
      <c r="J29" s="366"/>
      <c r="K29" s="366"/>
      <c r="L29" s="366"/>
      <c r="M29" s="366"/>
      <c r="N29" s="366"/>
      <c r="O29" s="366"/>
      <c r="P29" s="366"/>
      <c r="Q29" s="366"/>
      <c r="R29" s="366"/>
      <c r="S29" s="366"/>
      <c r="T29" s="366"/>
    </row>
    <row r="30" spans="1:20" s="23" customFormat="1" ht="15.75" customHeight="1" thickTop="1">
      <c r="A30" s="50"/>
      <c r="B30" s="414"/>
      <c r="C30" s="414"/>
      <c r="D30" s="414"/>
      <c r="E30" s="414"/>
      <c r="F30" s="431"/>
      <c r="G30" s="432"/>
      <c r="H30" s="366"/>
      <c r="I30" s="366"/>
      <c r="J30" s="366"/>
      <c r="K30" s="366"/>
      <c r="L30" s="366"/>
      <c r="M30" s="366"/>
      <c r="N30" s="366"/>
      <c r="O30" s="366"/>
      <c r="P30" s="366"/>
      <c r="Q30" s="366"/>
      <c r="R30" s="366"/>
      <c r="S30" s="366"/>
      <c r="T30" s="366"/>
    </row>
    <row r="31" spans="1:20" s="23" customFormat="1" ht="15.75" customHeight="1">
      <c r="A31" s="50"/>
      <c r="B31" s="414"/>
      <c r="C31" s="414"/>
      <c r="D31" s="414"/>
      <c r="E31" s="414"/>
      <c r="F31" s="431"/>
      <c r="G31" s="432"/>
      <c r="H31" s="366"/>
      <c r="I31" s="366"/>
      <c r="J31" s="366"/>
      <c r="K31" s="366"/>
      <c r="L31" s="366"/>
      <c r="M31" s="366"/>
      <c r="N31" s="366"/>
      <c r="O31" s="366"/>
      <c r="P31" s="366"/>
      <c r="Q31" s="366"/>
      <c r="R31" s="366"/>
      <c r="S31" s="366"/>
      <c r="T31" s="366"/>
    </row>
    <row r="32" spans="1:7" s="6" customFormat="1" ht="9.75" customHeight="1">
      <c r="A32" s="523" t="s">
        <v>311</v>
      </c>
      <c r="B32" s="524"/>
      <c r="C32" s="524"/>
      <c r="D32" s="524"/>
      <c r="E32" s="523"/>
      <c r="F32" s="523"/>
      <c r="G32" s="523"/>
    </row>
    <row r="33" spans="1:7" s="6" customFormat="1" ht="9.75" customHeight="1">
      <c r="A33" s="523"/>
      <c r="B33" s="524"/>
      <c r="C33" s="524"/>
      <c r="D33" s="524"/>
      <c r="E33" s="523"/>
      <c r="F33" s="523"/>
      <c r="G33" s="523"/>
    </row>
    <row r="34" spans="2:7" s="6" customFormat="1" ht="15.75" customHeight="1">
      <c r="B34" s="358"/>
      <c r="C34" s="358"/>
      <c r="D34" s="358"/>
      <c r="E34" s="358"/>
      <c r="F34" s="358"/>
      <c r="G34" s="358"/>
    </row>
    <row r="35" spans="2:7" s="6" customFormat="1" ht="15.75" customHeight="1">
      <c r="B35" s="358"/>
      <c r="C35" s="358"/>
      <c r="D35" s="358"/>
      <c r="E35" s="358"/>
      <c r="F35" s="358"/>
      <c r="G35" s="358"/>
    </row>
    <row r="36" spans="2:7" s="6" customFormat="1" ht="15.75" customHeight="1">
      <c r="B36" s="358"/>
      <c r="C36" s="358"/>
      <c r="D36" s="358"/>
      <c r="E36" s="358"/>
      <c r="F36" s="358"/>
      <c r="G36" s="358"/>
    </row>
    <row r="37" spans="2:7" s="6" customFormat="1" ht="15.75" customHeight="1">
      <c r="B37" s="358"/>
      <c r="C37" s="358"/>
      <c r="D37" s="358"/>
      <c r="E37" s="358"/>
      <c r="F37" s="358"/>
      <c r="G37" s="358"/>
    </row>
    <row r="38" spans="2:7" s="6" customFormat="1" ht="15.75" customHeight="1">
      <c r="B38" s="358"/>
      <c r="C38" s="358"/>
      <c r="D38" s="358"/>
      <c r="E38" s="358"/>
      <c r="F38" s="358"/>
      <c r="G38" s="358"/>
    </row>
    <row r="39" spans="2:7" s="6" customFormat="1" ht="15.75" customHeight="1">
      <c r="B39" s="358"/>
      <c r="C39" s="358"/>
      <c r="D39" s="358"/>
      <c r="E39" s="358"/>
      <c r="F39" s="358"/>
      <c r="G39" s="358"/>
    </row>
    <row r="40" spans="2:7" s="6" customFormat="1" ht="15.75" customHeight="1">
      <c r="B40" s="358"/>
      <c r="C40" s="358"/>
      <c r="D40" s="358"/>
      <c r="E40" s="358"/>
      <c r="F40" s="358"/>
      <c r="G40" s="358"/>
    </row>
    <row r="41" spans="2:7" s="6" customFormat="1" ht="15.75" customHeight="1">
      <c r="B41" s="358"/>
      <c r="C41" s="358"/>
      <c r="D41" s="358"/>
      <c r="E41" s="358"/>
      <c r="F41" s="358"/>
      <c r="G41" s="358"/>
    </row>
    <row r="42" spans="2:7" s="6" customFormat="1" ht="15.75" customHeight="1">
      <c r="B42" s="358"/>
      <c r="C42" s="358"/>
      <c r="D42" s="358"/>
      <c r="E42" s="358"/>
      <c r="F42" s="358"/>
      <c r="G42" s="358"/>
    </row>
    <row r="43" spans="2:7" s="6" customFormat="1" ht="15.75" customHeight="1">
      <c r="B43" s="358"/>
      <c r="C43" s="358"/>
      <c r="D43" s="358"/>
      <c r="E43" s="358"/>
      <c r="F43" s="358"/>
      <c r="G43" s="358"/>
    </row>
    <row r="44" spans="2:7" s="6" customFormat="1" ht="15.75" customHeight="1">
      <c r="B44" s="358"/>
      <c r="C44" s="358"/>
      <c r="D44" s="358"/>
      <c r="E44" s="358"/>
      <c r="F44" s="358"/>
      <c r="G44" s="358"/>
    </row>
    <row r="45" spans="2:7" s="6" customFormat="1" ht="15.75" customHeight="1">
      <c r="B45" s="358"/>
      <c r="C45" s="358"/>
      <c r="D45" s="358"/>
      <c r="E45" s="358"/>
      <c r="F45" s="358"/>
      <c r="G45" s="358"/>
    </row>
    <row r="46" spans="2:7" s="6" customFormat="1" ht="15.75" customHeight="1">
      <c r="B46" s="358"/>
      <c r="C46" s="358"/>
      <c r="D46" s="358"/>
      <c r="E46" s="358"/>
      <c r="F46" s="358"/>
      <c r="G46" s="358"/>
    </row>
    <row r="47" spans="2:7" s="6" customFormat="1" ht="15.75" customHeight="1">
      <c r="B47" s="358"/>
      <c r="C47" s="358"/>
      <c r="D47" s="358"/>
      <c r="E47" s="358"/>
      <c r="F47" s="358"/>
      <c r="G47" s="358"/>
    </row>
    <row r="48" spans="2:7" s="6" customFormat="1" ht="15.75" customHeight="1">
      <c r="B48" s="358"/>
      <c r="C48" s="358"/>
      <c r="D48" s="358"/>
      <c r="E48" s="358"/>
      <c r="F48" s="358"/>
      <c r="G48" s="358"/>
    </row>
    <row r="49" spans="2:7" s="6" customFormat="1" ht="15.75" customHeight="1">
      <c r="B49" s="358"/>
      <c r="C49" s="358"/>
      <c r="D49" s="358"/>
      <c r="E49" s="358"/>
      <c r="F49" s="358"/>
      <c r="G49" s="358"/>
    </row>
    <row r="50" spans="2:7" s="6" customFormat="1" ht="15.75" customHeight="1">
      <c r="B50" s="358"/>
      <c r="C50" s="358"/>
      <c r="D50" s="358"/>
      <c r="E50" s="358"/>
      <c r="F50" s="358"/>
      <c r="G50" s="358"/>
    </row>
    <row r="51" spans="2:7" s="6" customFormat="1" ht="15.75" customHeight="1">
      <c r="B51" s="358"/>
      <c r="C51" s="358"/>
      <c r="D51" s="358"/>
      <c r="E51" s="358"/>
      <c r="F51" s="358"/>
      <c r="G51" s="358"/>
    </row>
    <row r="52" spans="2:7" s="6" customFormat="1" ht="15.75" customHeight="1">
      <c r="B52" s="358"/>
      <c r="C52" s="358"/>
      <c r="D52" s="358"/>
      <c r="E52" s="358"/>
      <c r="F52" s="358"/>
      <c r="G52" s="358"/>
    </row>
    <row r="53" spans="2:7" s="6" customFormat="1" ht="15.75" customHeight="1">
      <c r="B53" s="358"/>
      <c r="C53" s="358"/>
      <c r="D53" s="358"/>
      <c r="E53" s="358"/>
      <c r="F53" s="358"/>
      <c r="G53" s="358"/>
    </row>
    <row r="54" spans="2:7" s="6" customFormat="1" ht="15.75" customHeight="1">
      <c r="B54" s="358"/>
      <c r="C54" s="358"/>
      <c r="D54" s="358"/>
      <c r="E54" s="358"/>
      <c r="F54" s="358"/>
      <c r="G54" s="358"/>
    </row>
    <row r="55" spans="2:7" s="6" customFormat="1" ht="15.75" customHeight="1">
      <c r="B55" s="358"/>
      <c r="C55" s="358"/>
      <c r="D55" s="358"/>
      <c r="E55" s="358"/>
      <c r="F55" s="358"/>
      <c r="G55" s="358"/>
    </row>
    <row r="56" spans="2:7" s="6" customFormat="1" ht="15.75" customHeight="1">
      <c r="B56" s="358"/>
      <c r="C56" s="358"/>
      <c r="D56" s="358"/>
      <c r="E56" s="358"/>
      <c r="F56" s="358"/>
      <c r="G56" s="358"/>
    </row>
    <row r="57" spans="2:7" s="6" customFormat="1" ht="15.75" customHeight="1">
      <c r="B57" s="358"/>
      <c r="C57" s="358"/>
      <c r="D57" s="358"/>
      <c r="E57" s="358"/>
      <c r="F57" s="358"/>
      <c r="G57" s="358"/>
    </row>
    <row r="58" spans="2:7" s="6" customFormat="1" ht="15.75" customHeight="1">
      <c r="B58" s="358"/>
      <c r="C58" s="358"/>
      <c r="D58" s="358"/>
      <c r="E58" s="358"/>
      <c r="F58" s="358"/>
      <c r="G58" s="358"/>
    </row>
    <row r="59" spans="2:7" s="6" customFormat="1" ht="15.75" customHeight="1">
      <c r="B59" s="358"/>
      <c r="C59" s="358"/>
      <c r="D59" s="358"/>
      <c r="E59" s="358"/>
      <c r="F59" s="358"/>
      <c r="G59" s="358"/>
    </row>
    <row r="60" spans="2:7" s="6" customFormat="1" ht="15.75" customHeight="1">
      <c r="B60" s="358"/>
      <c r="C60" s="358"/>
      <c r="D60" s="358"/>
      <c r="E60" s="358"/>
      <c r="F60" s="358"/>
      <c r="G60" s="358"/>
    </row>
    <row r="61" spans="2:7" s="6" customFormat="1" ht="15.75" customHeight="1">
      <c r="B61" s="358"/>
      <c r="C61" s="358"/>
      <c r="D61" s="358"/>
      <c r="E61" s="358"/>
      <c r="F61" s="358"/>
      <c r="G61" s="358"/>
    </row>
    <row r="62" spans="2:7" s="6" customFormat="1" ht="15.75" customHeight="1">
      <c r="B62" s="358"/>
      <c r="C62" s="358"/>
      <c r="D62" s="358"/>
      <c r="E62" s="358"/>
      <c r="F62" s="358"/>
      <c r="G62" s="358"/>
    </row>
    <row r="63" spans="2:7" s="6" customFormat="1" ht="15.75" customHeight="1">
      <c r="B63" s="358"/>
      <c r="C63" s="358"/>
      <c r="D63" s="358"/>
      <c r="E63" s="358"/>
      <c r="F63" s="358"/>
      <c r="G63" s="358"/>
    </row>
    <row r="64" spans="2:7" s="6" customFormat="1" ht="15.75" customHeight="1">
      <c r="B64" s="358"/>
      <c r="C64" s="358"/>
      <c r="D64" s="358"/>
      <c r="E64" s="358"/>
      <c r="F64" s="358"/>
      <c r="G64" s="358"/>
    </row>
    <row r="65" spans="2:7" s="6" customFormat="1" ht="15.75" customHeight="1">
      <c r="B65" s="358"/>
      <c r="C65" s="358"/>
      <c r="D65" s="358"/>
      <c r="E65" s="358"/>
      <c r="F65" s="358"/>
      <c r="G65" s="358"/>
    </row>
    <row r="66" spans="2:7" s="6" customFormat="1" ht="15.75" customHeight="1">
      <c r="B66" s="358"/>
      <c r="C66" s="358"/>
      <c r="D66" s="358"/>
      <c r="E66" s="358"/>
      <c r="F66" s="358"/>
      <c r="G66" s="358"/>
    </row>
    <row r="67" spans="2:7" s="6" customFormat="1" ht="15.75" customHeight="1">
      <c r="B67" s="358"/>
      <c r="C67" s="358"/>
      <c r="D67" s="358"/>
      <c r="E67" s="358"/>
      <c r="F67" s="358"/>
      <c r="G67" s="358"/>
    </row>
    <row r="68" spans="2:7" s="6" customFormat="1" ht="15.75" customHeight="1">
      <c r="B68" s="358"/>
      <c r="C68" s="358"/>
      <c r="D68" s="358"/>
      <c r="E68" s="358"/>
      <c r="F68" s="358"/>
      <c r="G68" s="358"/>
    </row>
    <row r="69" spans="2:7" s="6" customFormat="1" ht="15.75" customHeight="1">
      <c r="B69" s="358"/>
      <c r="C69" s="358"/>
      <c r="D69" s="358"/>
      <c r="E69" s="358"/>
      <c r="F69" s="358"/>
      <c r="G69" s="358"/>
    </row>
    <row r="70" spans="2:7" s="6" customFormat="1" ht="15.75" customHeight="1">
      <c r="B70" s="358"/>
      <c r="C70" s="358"/>
      <c r="D70" s="358"/>
      <c r="E70" s="358"/>
      <c r="F70" s="358"/>
      <c r="G70" s="358"/>
    </row>
    <row r="71" spans="2:7" s="6" customFormat="1" ht="15.75" customHeight="1">
      <c r="B71" s="358"/>
      <c r="C71" s="358"/>
      <c r="D71" s="358"/>
      <c r="E71" s="358"/>
      <c r="F71" s="358"/>
      <c r="G71" s="358"/>
    </row>
    <row r="72" spans="2:7" s="6" customFormat="1" ht="15.75" customHeight="1">
      <c r="B72" s="358"/>
      <c r="C72" s="358"/>
      <c r="D72" s="358"/>
      <c r="E72" s="358"/>
      <c r="F72" s="358"/>
      <c r="G72" s="358"/>
    </row>
    <row r="73" spans="2:7" s="6" customFormat="1" ht="15.75" customHeight="1">
      <c r="B73" s="358"/>
      <c r="C73" s="358"/>
      <c r="D73" s="358"/>
      <c r="E73" s="358"/>
      <c r="F73" s="358"/>
      <c r="G73" s="358"/>
    </row>
    <row r="74" spans="2:7" s="6" customFormat="1" ht="15.75" customHeight="1">
      <c r="B74" s="358"/>
      <c r="C74" s="358"/>
      <c r="D74" s="358"/>
      <c r="E74" s="358"/>
      <c r="F74" s="358"/>
      <c r="G74" s="358"/>
    </row>
    <row r="75" spans="2:7" s="6" customFormat="1" ht="15.75" customHeight="1">
      <c r="B75" s="358"/>
      <c r="C75" s="358"/>
      <c r="D75" s="358"/>
      <c r="E75" s="358"/>
      <c r="F75" s="358"/>
      <c r="G75" s="358"/>
    </row>
    <row r="76" spans="2:7" s="6" customFormat="1" ht="15.75" customHeight="1">
      <c r="B76" s="358"/>
      <c r="C76" s="358"/>
      <c r="D76" s="358"/>
      <c r="E76" s="358"/>
      <c r="F76" s="358"/>
      <c r="G76" s="358"/>
    </row>
    <row r="77" spans="2:7" s="6" customFormat="1" ht="15.75" customHeight="1">
      <c r="B77" s="358"/>
      <c r="C77" s="358"/>
      <c r="D77" s="358"/>
      <c r="E77" s="358"/>
      <c r="F77" s="358"/>
      <c r="G77" s="358"/>
    </row>
    <row r="78" spans="2:7" s="6" customFormat="1" ht="15.75" customHeight="1">
      <c r="B78" s="358"/>
      <c r="C78" s="358"/>
      <c r="D78" s="358"/>
      <c r="E78" s="358"/>
      <c r="F78" s="358"/>
      <c r="G78" s="358"/>
    </row>
    <row r="79" spans="2:7" s="6" customFormat="1" ht="15.75" customHeight="1">
      <c r="B79" s="358"/>
      <c r="C79" s="358"/>
      <c r="D79" s="358"/>
      <c r="E79" s="358"/>
      <c r="F79" s="358"/>
      <c r="G79" s="358"/>
    </row>
    <row r="80" spans="2:7" s="6" customFormat="1" ht="15.75" customHeight="1">
      <c r="B80" s="358"/>
      <c r="C80" s="358"/>
      <c r="D80" s="358"/>
      <c r="E80" s="358"/>
      <c r="F80" s="358"/>
      <c r="G80" s="358"/>
    </row>
    <row r="81" spans="2:7" s="6" customFormat="1" ht="15.75" customHeight="1">
      <c r="B81" s="358"/>
      <c r="C81" s="358"/>
      <c r="D81" s="358"/>
      <c r="E81" s="358"/>
      <c r="F81" s="358"/>
      <c r="G81" s="358"/>
    </row>
    <row r="82" spans="2:7" s="6" customFormat="1" ht="15.75" customHeight="1">
      <c r="B82" s="358"/>
      <c r="C82" s="358"/>
      <c r="D82" s="358"/>
      <c r="E82" s="358"/>
      <c r="F82" s="358"/>
      <c r="G82" s="358"/>
    </row>
    <row r="83" spans="2:7" s="6" customFormat="1" ht="15.75" customHeight="1">
      <c r="B83" s="358"/>
      <c r="C83" s="358"/>
      <c r="D83" s="358"/>
      <c r="E83" s="358"/>
      <c r="F83" s="358"/>
      <c r="G83" s="358"/>
    </row>
    <row r="84" spans="2:7" s="6" customFormat="1" ht="15.75" customHeight="1">
      <c r="B84" s="358"/>
      <c r="C84" s="358"/>
      <c r="D84" s="358"/>
      <c r="E84" s="358"/>
      <c r="F84" s="358"/>
      <c r="G84" s="358"/>
    </row>
    <row r="85" spans="2:7" s="6" customFormat="1" ht="15.75" customHeight="1">
      <c r="B85" s="358"/>
      <c r="C85" s="358"/>
      <c r="D85" s="358"/>
      <c r="E85" s="358"/>
      <c r="F85" s="358"/>
      <c r="G85" s="358"/>
    </row>
    <row r="86" spans="2:7" s="6" customFormat="1" ht="15.75" customHeight="1">
      <c r="B86" s="358"/>
      <c r="C86" s="358"/>
      <c r="D86" s="358"/>
      <c r="E86" s="358"/>
      <c r="F86" s="358"/>
      <c r="G86" s="358"/>
    </row>
    <row r="87" spans="2:7" s="6" customFormat="1" ht="15.75" customHeight="1">
      <c r="B87" s="358"/>
      <c r="C87" s="358"/>
      <c r="D87" s="358"/>
      <c r="E87" s="358"/>
      <c r="F87" s="358"/>
      <c r="G87" s="358"/>
    </row>
    <row r="88" spans="2:7" s="6" customFormat="1" ht="15.75" customHeight="1">
      <c r="B88" s="358"/>
      <c r="C88" s="358"/>
      <c r="D88" s="358"/>
      <c r="E88" s="358"/>
      <c r="F88" s="358"/>
      <c r="G88" s="358"/>
    </row>
    <row r="89" spans="2:7" s="6" customFormat="1" ht="15.75" customHeight="1">
      <c r="B89" s="358"/>
      <c r="C89" s="358"/>
      <c r="D89" s="358"/>
      <c r="E89" s="358"/>
      <c r="F89" s="358"/>
      <c r="G89" s="358"/>
    </row>
    <row r="90" spans="2:7" s="6" customFormat="1" ht="15.75" customHeight="1">
      <c r="B90" s="358"/>
      <c r="C90" s="358"/>
      <c r="D90" s="358"/>
      <c r="E90" s="358"/>
      <c r="F90" s="358"/>
      <c r="G90" s="358"/>
    </row>
    <row r="91" spans="2:7" s="6" customFormat="1" ht="15.75" customHeight="1">
      <c r="B91" s="358"/>
      <c r="C91" s="358"/>
      <c r="D91" s="358"/>
      <c r="E91" s="358"/>
      <c r="F91" s="358"/>
      <c r="G91" s="358"/>
    </row>
    <row r="92" spans="2:7" s="6" customFormat="1" ht="15.75" customHeight="1">
      <c r="B92" s="358"/>
      <c r="C92" s="358"/>
      <c r="D92" s="358"/>
      <c r="E92" s="358"/>
      <c r="F92" s="358"/>
      <c r="G92" s="358"/>
    </row>
    <row r="93" spans="2:7" s="6" customFormat="1" ht="15.75" customHeight="1">
      <c r="B93" s="358"/>
      <c r="C93" s="358"/>
      <c r="D93" s="358"/>
      <c r="E93" s="358"/>
      <c r="F93" s="358"/>
      <c r="G93" s="358"/>
    </row>
    <row r="94" spans="2:7" s="6" customFormat="1" ht="15.75" customHeight="1">
      <c r="B94" s="358"/>
      <c r="C94" s="358"/>
      <c r="D94" s="358"/>
      <c r="E94" s="358"/>
      <c r="F94" s="358"/>
      <c r="G94" s="358"/>
    </row>
    <row r="95" spans="2:7" s="6" customFormat="1" ht="15.75" customHeight="1">
      <c r="B95" s="358"/>
      <c r="C95" s="358"/>
      <c r="D95" s="358"/>
      <c r="E95" s="358"/>
      <c r="F95" s="358"/>
      <c r="G95" s="358"/>
    </row>
    <row r="96" spans="2:7" s="6" customFormat="1" ht="15.75" customHeight="1">
      <c r="B96" s="358"/>
      <c r="C96" s="358"/>
      <c r="D96" s="358"/>
      <c r="E96" s="358"/>
      <c r="F96" s="358"/>
      <c r="G96" s="358"/>
    </row>
    <row r="97" spans="2:7" s="6" customFormat="1" ht="15.75" customHeight="1">
      <c r="B97" s="358"/>
      <c r="C97" s="358"/>
      <c r="D97" s="358"/>
      <c r="E97" s="358"/>
      <c r="F97" s="358"/>
      <c r="G97" s="358"/>
    </row>
    <row r="98" spans="2:7" s="6" customFormat="1" ht="15.75" customHeight="1">
      <c r="B98" s="358"/>
      <c r="C98" s="358"/>
      <c r="D98" s="358"/>
      <c r="E98" s="358"/>
      <c r="F98" s="358"/>
      <c r="G98" s="358"/>
    </row>
    <row r="99" spans="2:7" s="6" customFormat="1" ht="15.75" customHeight="1">
      <c r="B99" s="358"/>
      <c r="C99" s="358"/>
      <c r="D99" s="358"/>
      <c r="E99" s="358"/>
      <c r="F99" s="358"/>
      <c r="G99" s="358"/>
    </row>
    <row r="100" spans="2:7" s="6" customFormat="1" ht="15.75" customHeight="1">
      <c r="B100" s="358"/>
      <c r="C100" s="358"/>
      <c r="D100" s="358"/>
      <c r="E100" s="358"/>
      <c r="F100" s="358"/>
      <c r="G100" s="358"/>
    </row>
    <row r="101" spans="2:7" s="6" customFormat="1" ht="15.75" customHeight="1">
      <c r="B101" s="358"/>
      <c r="C101" s="358"/>
      <c r="D101" s="358"/>
      <c r="E101" s="358"/>
      <c r="F101" s="358"/>
      <c r="G101" s="358"/>
    </row>
    <row r="102" spans="2:7" s="6" customFormat="1" ht="15.75" customHeight="1">
      <c r="B102" s="358"/>
      <c r="C102" s="358"/>
      <c r="D102" s="358"/>
      <c r="E102" s="358"/>
      <c r="F102" s="358"/>
      <c r="G102" s="358"/>
    </row>
    <row r="103" spans="2:7" s="6" customFormat="1" ht="15.75" customHeight="1">
      <c r="B103" s="358"/>
      <c r="C103" s="358"/>
      <c r="D103" s="358"/>
      <c r="E103" s="358"/>
      <c r="F103" s="358"/>
      <c r="G103" s="358"/>
    </row>
    <row r="104" spans="2:7" s="6" customFormat="1" ht="15.75" customHeight="1">
      <c r="B104" s="358"/>
      <c r="C104" s="358"/>
      <c r="D104" s="358"/>
      <c r="E104" s="358"/>
      <c r="F104" s="358"/>
      <c r="G104" s="358"/>
    </row>
    <row r="105" spans="2:7" s="6" customFormat="1" ht="15.75" customHeight="1">
      <c r="B105" s="358"/>
      <c r="C105" s="358"/>
      <c r="D105" s="358"/>
      <c r="E105" s="358"/>
      <c r="F105" s="358"/>
      <c r="G105" s="358"/>
    </row>
    <row r="106" spans="2:7" s="6" customFormat="1" ht="15.75" customHeight="1">
      <c r="B106" s="358"/>
      <c r="C106" s="358"/>
      <c r="D106" s="358"/>
      <c r="E106" s="358"/>
      <c r="F106" s="358"/>
      <c r="G106" s="358"/>
    </row>
    <row r="107" spans="2:7" s="6" customFormat="1" ht="15.75" customHeight="1">
      <c r="B107" s="358"/>
      <c r="C107" s="358"/>
      <c r="D107" s="358"/>
      <c r="E107" s="358"/>
      <c r="F107" s="358"/>
      <c r="G107" s="358"/>
    </row>
    <row r="108" spans="2:7" s="6" customFormat="1" ht="15.75" customHeight="1">
      <c r="B108" s="358"/>
      <c r="C108" s="358"/>
      <c r="D108" s="358"/>
      <c r="E108" s="358"/>
      <c r="F108" s="358"/>
      <c r="G108" s="358"/>
    </row>
    <row r="109" spans="2:7" s="6" customFormat="1" ht="15.75" customHeight="1">
      <c r="B109" s="358"/>
      <c r="C109" s="358"/>
      <c r="D109" s="358"/>
      <c r="E109" s="358"/>
      <c r="F109" s="358"/>
      <c r="G109" s="358"/>
    </row>
    <row r="110" spans="2:7" s="6" customFormat="1" ht="15.75" customHeight="1">
      <c r="B110" s="358"/>
      <c r="C110" s="358"/>
      <c r="D110" s="358"/>
      <c r="E110" s="358"/>
      <c r="F110" s="358"/>
      <c r="G110" s="358"/>
    </row>
    <row r="111" spans="2:7" s="6" customFormat="1" ht="15.75" customHeight="1">
      <c r="B111" s="358"/>
      <c r="C111" s="358"/>
      <c r="D111" s="358"/>
      <c r="E111" s="358"/>
      <c r="F111" s="358"/>
      <c r="G111" s="358"/>
    </row>
    <row r="112" spans="2:7" s="6" customFormat="1" ht="15.75" customHeight="1">
      <c r="B112" s="358"/>
      <c r="C112" s="358"/>
      <c r="D112" s="358"/>
      <c r="E112" s="358"/>
      <c r="F112" s="358"/>
      <c r="G112" s="358"/>
    </row>
    <row r="113" spans="2:7" s="6" customFormat="1" ht="15.75" customHeight="1">
      <c r="B113" s="358"/>
      <c r="C113" s="358"/>
      <c r="D113" s="358"/>
      <c r="E113" s="358"/>
      <c r="F113" s="358"/>
      <c r="G113" s="358"/>
    </row>
    <row r="114" spans="2:7" s="6" customFormat="1" ht="15.75" customHeight="1">
      <c r="B114" s="358"/>
      <c r="C114" s="358"/>
      <c r="D114" s="358"/>
      <c r="E114" s="358"/>
      <c r="F114" s="358"/>
      <c r="G114" s="358"/>
    </row>
    <row r="115" spans="2:7" s="6" customFormat="1" ht="15.75" customHeight="1">
      <c r="B115" s="358"/>
      <c r="C115" s="358"/>
      <c r="D115" s="358"/>
      <c r="E115" s="358"/>
      <c r="F115" s="358"/>
      <c r="G115" s="358"/>
    </row>
    <row r="116" spans="2:7" s="6" customFormat="1" ht="15.75" customHeight="1">
      <c r="B116" s="358"/>
      <c r="C116" s="358"/>
      <c r="D116" s="358"/>
      <c r="E116" s="358"/>
      <c r="F116" s="358"/>
      <c r="G116" s="358"/>
    </row>
    <row r="117" spans="2:7" s="6" customFormat="1" ht="15.75" customHeight="1">
      <c r="B117" s="358"/>
      <c r="C117" s="358"/>
      <c r="D117" s="358"/>
      <c r="E117" s="358"/>
      <c r="F117" s="358"/>
      <c r="G117" s="358"/>
    </row>
    <row r="118" spans="2:7" s="6" customFormat="1" ht="15.75" customHeight="1">
      <c r="B118" s="358"/>
      <c r="C118" s="358"/>
      <c r="D118" s="358"/>
      <c r="E118" s="358"/>
      <c r="F118" s="358"/>
      <c r="G118" s="358"/>
    </row>
    <row r="119" spans="2:7" s="6" customFormat="1" ht="15.75" customHeight="1">
      <c r="B119" s="358"/>
      <c r="C119" s="358"/>
      <c r="D119" s="358"/>
      <c r="E119" s="358"/>
      <c r="F119" s="358"/>
      <c r="G119" s="358"/>
    </row>
    <row r="120" spans="2:7" s="6" customFormat="1" ht="15.75" customHeight="1">
      <c r="B120" s="358"/>
      <c r="C120" s="358"/>
      <c r="D120" s="358"/>
      <c r="E120" s="358"/>
      <c r="F120" s="358"/>
      <c r="G120" s="358"/>
    </row>
    <row r="121" spans="2:7" s="6" customFormat="1" ht="15.75" customHeight="1">
      <c r="B121" s="358"/>
      <c r="C121" s="358"/>
      <c r="D121" s="358"/>
      <c r="E121" s="358"/>
      <c r="F121" s="358"/>
      <c r="G121" s="358"/>
    </row>
    <row r="122" spans="2:7" s="6" customFormat="1" ht="15.75" customHeight="1">
      <c r="B122" s="358"/>
      <c r="C122" s="358"/>
      <c r="D122" s="358"/>
      <c r="E122" s="358"/>
      <c r="F122" s="358"/>
      <c r="G122" s="358"/>
    </row>
    <row r="123" spans="2:7" s="6" customFormat="1" ht="15.75" customHeight="1">
      <c r="B123" s="358"/>
      <c r="C123" s="358"/>
      <c r="D123" s="358"/>
      <c r="E123" s="358"/>
      <c r="F123" s="358"/>
      <c r="G123" s="358"/>
    </row>
    <row r="124" spans="2:7" s="6" customFormat="1" ht="15.75" customHeight="1">
      <c r="B124" s="358"/>
      <c r="C124" s="358"/>
      <c r="D124" s="358"/>
      <c r="E124" s="358"/>
      <c r="F124" s="358"/>
      <c r="G124" s="358"/>
    </row>
    <row r="125" spans="2:7" s="6" customFormat="1" ht="15.75" customHeight="1">
      <c r="B125" s="358"/>
      <c r="C125" s="358"/>
      <c r="D125" s="358"/>
      <c r="E125" s="358"/>
      <c r="F125" s="358"/>
      <c r="G125" s="358"/>
    </row>
    <row r="126" spans="2:7" s="6" customFormat="1" ht="15.75" customHeight="1">
      <c r="B126" s="358"/>
      <c r="C126" s="358"/>
      <c r="D126" s="358"/>
      <c r="E126" s="358"/>
      <c r="F126" s="358"/>
      <c r="G126" s="358"/>
    </row>
    <row r="127" spans="2:7" s="6" customFormat="1" ht="15.75" customHeight="1">
      <c r="B127" s="358"/>
      <c r="C127" s="358"/>
      <c r="D127" s="358"/>
      <c r="E127" s="358"/>
      <c r="F127" s="358"/>
      <c r="G127" s="358"/>
    </row>
    <row r="128" spans="2:7" s="6" customFormat="1" ht="15.75" customHeight="1">
      <c r="B128" s="358"/>
      <c r="C128" s="358"/>
      <c r="D128" s="358"/>
      <c r="E128" s="358"/>
      <c r="F128" s="358"/>
      <c r="G128" s="358"/>
    </row>
    <row r="129" spans="2:7" s="6" customFormat="1" ht="15.75" customHeight="1">
      <c r="B129" s="358"/>
      <c r="C129" s="358"/>
      <c r="D129" s="358"/>
      <c r="E129" s="358"/>
      <c r="F129" s="358"/>
      <c r="G129" s="358"/>
    </row>
    <row r="130" spans="2:7" s="6" customFormat="1" ht="15.75" customHeight="1">
      <c r="B130" s="358"/>
      <c r="C130" s="358"/>
      <c r="D130" s="358"/>
      <c r="E130" s="358"/>
      <c r="F130" s="358"/>
      <c r="G130" s="358"/>
    </row>
    <row r="131" spans="2:7" s="6" customFormat="1" ht="15.75" customHeight="1">
      <c r="B131" s="358"/>
      <c r="C131" s="358"/>
      <c r="D131" s="358"/>
      <c r="E131" s="358"/>
      <c r="F131" s="358"/>
      <c r="G131" s="358"/>
    </row>
    <row r="132" spans="2:7" s="6" customFormat="1" ht="15.75" customHeight="1">
      <c r="B132" s="358"/>
      <c r="C132" s="358"/>
      <c r="D132" s="358"/>
      <c r="E132" s="358"/>
      <c r="F132" s="358"/>
      <c r="G132" s="358"/>
    </row>
    <row r="133" spans="2:7" s="6" customFormat="1" ht="15.75" customHeight="1">
      <c r="B133" s="358"/>
      <c r="C133" s="358"/>
      <c r="D133" s="358"/>
      <c r="E133" s="358"/>
      <c r="F133" s="358"/>
      <c r="G133" s="358"/>
    </row>
    <row r="134" spans="2:7" s="6" customFormat="1" ht="15.75" customHeight="1">
      <c r="B134" s="358"/>
      <c r="C134" s="358"/>
      <c r="D134" s="358"/>
      <c r="E134" s="358"/>
      <c r="F134" s="358"/>
      <c r="G134" s="358"/>
    </row>
    <row r="135" spans="2:7" s="6" customFormat="1" ht="14.25">
      <c r="B135" s="358"/>
      <c r="C135" s="358"/>
      <c r="D135" s="358"/>
      <c r="E135" s="358"/>
      <c r="F135" s="358"/>
      <c r="G135" s="358"/>
    </row>
    <row r="136" spans="2:7" s="6" customFormat="1" ht="14.25">
      <c r="B136" s="358"/>
      <c r="C136" s="358"/>
      <c r="D136" s="358"/>
      <c r="E136" s="358"/>
      <c r="F136" s="358"/>
      <c r="G136" s="358"/>
    </row>
    <row r="137" spans="2:7" s="6" customFormat="1" ht="14.25">
      <c r="B137" s="358"/>
      <c r="C137" s="358"/>
      <c r="D137" s="358"/>
      <c r="E137" s="358"/>
      <c r="F137" s="358"/>
      <c r="G137" s="358"/>
    </row>
    <row r="138" spans="2:7" s="6" customFormat="1" ht="14.25">
      <c r="B138" s="358"/>
      <c r="C138" s="358"/>
      <c r="D138" s="358"/>
      <c r="E138" s="358"/>
      <c r="F138" s="358"/>
      <c r="G138" s="358"/>
    </row>
    <row r="139" spans="2:7" s="6" customFormat="1" ht="14.25">
      <c r="B139" s="358"/>
      <c r="C139" s="358"/>
      <c r="D139" s="358"/>
      <c r="E139" s="358"/>
      <c r="F139" s="358"/>
      <c r="G139" s="358"/>
    </row>
    <row r="140" spans="2:7" s="6" customFormat="1" ht="14.25">
      <c r="B140" s="358"/>
      <c r="C140" s="358"/>
      <c r="D140" s="358"/>
      <c r="E140" s="358"/>
      <c r="F140" s="358"/>
      <c r="G140" s="358"/>
    </row>
    <row r="141" spans="2:7" s="6" customFormat="1" ht="14.25">
      <c r="B141" s="358"/>
      <c r="C141" s="358"/>
      <c r="D141" s="358"/>
      <c r="E141" s="358"/>
      <c r="F141" s="358"/>
      <c r="G141" s="358"/>
    </row>
    <row r="142" spans="2:7" s="6" customFormat="1" ht="14.25">
      <c r="B142" s="358"/>
      <c r="C142" s="358"/>
      <c r="D142" s="358"/>
      <c r="E142" s="358"/>
      <c r="F142" s="358"/>
      <c r="G142" s="358"/>
    </row>
    <row r="143" spans="2:7" s="6" customFormat="1" ht="14.25">
      <c r="B143" s="358"/>
      <c r="C143" s="358"/>
      <c r="D143" s="358"/>
      <c r="E143" s="358"/>
      <c r="F143" s="358"/>
      <c r="G143" s="358"/>
    </row>
    <row r="144" spans="2:7" s="6" customFormat="1" ht="14.25">
      <c r="B144" s="358"/>
      <c r="C144" s="358"/>
      <c r="D144" s="358"/>
      <c r="E144" s="358"/>
      <c r="F144" s="358"/>
      <c r="G144" s="358"/>
    </row>
    <row r="145" spans="2:7" s="6" customFormat="1" ht="14.25">
      <c r="B145" s="358"/>
      <c r="C145" s="358"/>
      <c r="D145" s="358"/>
      <c r="E145" s="358"/>
      <c r="F145" s="358"/>
      <c r="G145" s="358"/>
    </row>
    <row r="146" spans="2:7" s="6" customFormat="1" ht="14.25">
      <c r="B146" s="358"/>
      <c r="C146" s="358"/>
      <c r="D146" s="358"/>
      <c r="E146" s="358"/>
      <c r="F146" s="358"/>
      <c r="G146" s="358"/>
    </row>
    <row r="147" spans="2:7" s="6" customFormat="1" ht="14.25">
      <c r="B147" s="358"/>
      <c r="C147" s="358"/>
      <c r="D147" s="358"/>
      <c r="E147" s="358"/>
      <c r="F147" s="358"/>
      <c r="G147" s="358"/>
    </row>
    <row r="148" spans="2:7" s="6" customFormat="1" ht="14.25">
      <c r="B148" s="358"/>
      <c r="C148" s="358"/>
      <c r="D148" s="358"/>
      <c r="E148" s="358"/>
      <c r="F148" s="358"/>
      <c r="G148" s="358"/>
    </row>
    <row r="149" spans="2:7" s="6" customFormat="1" ht="14.25">
      <c r="B149" s="358"/>
      <c r="C149" s="358"/>
      <c r="D149" s="358"/>
      <c r="E149" s="358"/>
      <c r="F149" s="358"/>
      <c r="G149" s="358"/>
    </row>
    <row r="150" spans="2:7" s="6" customFormat="1" ht="14.25">
      <c r="B150" s="358"/>
      <c r="C150" s="358"/>
      <c r="D150" s="358"/>
      <c r="E150" s="358"/>
      <c r="F150" s="358"/>
      <c r="G150" s="358"/>
    </row>
    <row r="151" spans="2:7" s="6" customFormat="1" ht="14.25">
      <c r="B151" s="358"/>
      <c r="C151" s="358"/>
      <c r="D151" s="358"/>
      <c r="E151" s="358"/>
      <c r="F151" s="358"/>
      <c r="G151" s="358"/>
    </row>
    <row r="152" spans="2:7" s="6" customFormat="1" ht="14.25">
      <c r="B152" s="358"/>
      <c r="C152" s="358"/>
      <c r="D152" s="358"/>
      <c r="E152" s="358"/>
      <c r="F152" s="358"/>
      <c r="G152" s="358"/>
    </row>
    <row r="153" spans="2:7" s="6" customFormat="1" ht="14.25">
      <c r="B153" s="358"/>
      <c r="C153" s="358"/>
      <c r="D153" s="358"/>
      <c r="E153" s="358"/>
      <c r="F153" s="358"/>
      <c r="G153" s="358"/>
    </row>
    <row r="154" spans="2:7" s="6" customFormat="1" ht="14.25">
      <c r="B154" s="358"/>
      <c r="C154" s="358"/>
      <c r="D154" s="358"/>
      <c r="E154" s="358"/>
      <c r="F154" s="358"/>
      <c r="G154" s="358"/>
    </row>
    <row r="155" spans="2:7" s="6" customFormat="1" ht="14.25">
      <c r="B155" s="358"/>
      <c r="C155" s="358"/>
      <c r="D155" s="358"/>
      <c r="E155" s="358"/>
      <c r="F155" s="358"/>
      <c r="G155" s="358"/>
    </row>
    <row r="156" spans="2:7" s="6" customFormat="1" ht="14.25">
      <c r="B156" s="358"/>
      <c r="C156" s="358"/>
      <c r="D156" s="358"/>
      <c r="E156" s="358"/>
      <c r="F156" s="358"/>
      <c r="G156" s="358"/>
    </row>
    <row r="157" spans="2:7" s="6" customFormat="1" ht="14.25">
      <c r="B157" s="358"/>
      <c r="C157" s="358"/>
      <c r="D157" s="358"/>
      <c r="E157" s="358"/>
      <c r="F157" s="358"/>
      <c r="G157" s="358"/>
    </row>
    <row r="158" spans="2:7" s="6" customFormat="1" ht="14.25">
      <c r="B158" s="358"/>
      <c r="C158" s="358"/>
      <c r="D158" s="358"/>
      <c r="E158" s="358"/>
      <c r="F158" s="358"/>
      <c r="G158" s="358"/>
    </row>
    <row r="159" spans="2:7" s="6" customFormat="1" ht="14.25">
      <c r="B159" s="358"/>
      <c r="C159" s="358"/>
      <c r="D159" s="358"/>
      <c r="E159" s="358"/>
      <c r="F159" s="358"/>
      <c r="G159" s="358"/>
    </row>
    <row r="160" spans="2:7" s="6" customFormat="1" ht="14.25">
      <c r="B160" s="358"/>
      <c r="C160" s="358"/>
      <c r="D160" s="358"/>
      <c r="E160" s="358"/>
      <c r="F160" s="358"/>
      <c r="G160" s="358"/>
    </row>
    <row r="161" spans="2:7" s="6" customFormat="1" ht="14.25">
      <c r="B161" s="358"/>
      <c r="C161" s="358"/>
      <c r="D161" s="358"/>
      <c r="E161" s="358"/>
      <c r="F161" s="358"/>
      <c r="G161" s="358"/>
    </row>
    <row r="162" spans="2:7" s="6" customFormat="1" ht="14.25">
      <c r="B162" s="358"/>
      <c r="C162" s="358"/>
      <c r="D162" s="358"/>
      <c r="E162" s="358"/>
      <c r="F162" s="358"/>
      <c r="G162" s="358"/>
    </row>
    <row r="163" spans="2:7" s="6" customFormat="1" ht="14.25">
      <c r="B163" s="358"/>
      <c r="C163" s="358"/>
      <c r="D163" s="358"/>
      <c r="E163" s="358"/>
      <c r="F163" s="358"/>
      <c r="G163" s="358"/>
    </row>
    <row r="164" spans="2:7" s="6" customFormat="1" ht="14.25">
      <c r="B164" s="358"/>
      <c r="C164" s="358"/>
      <c r="D164" s="358"/>
      <c r="E164" s="358"/>
      <c r="F164" s="358"/>
      <c r="G164" s="358"/>
    </row>
    <row r="165" spans="2:7" s="6" customFormat="1" ht="14.25">
      <c r="B165" s="358"/>
      <c r="C165" s="358"/>
      <c r="D165" s="358"/>
      <c r="E165" s="358"/>
      <c r="F165" s="358"/>
      <c r="G165" s="358"/>
    </row>
    <row r="166" spans="2:7" s="6" customFormat="1" ht="14.25">
      <c r="B166" s="358"/>
      <c r="C166" s="358"/>
      <c r="D166" s="358"/>
      <c r="E166" s="358"/>
      <c r="F166" s="358"/>
      <c r="G166" s="358"/>
    </row>
    <row r="167" spans="2:7" s="6" customFormat="1" ht="14.25">
      <c r="B167" s="358"/>
      <c r="C167" s="358"/>
      <c r="D167" s="358"/>
      <c r="E167" s="358"/>
      <c r="F167" s="358"/>
      <c r="G167" s="358"/>
    </row>
    <row r="168" spans="2:7" s="6" customFormat="1" ht="14.25">
      <c r="B168" s="358"/>
      <c r="C168" s="358"/>
      <c r="D168" s="358"/>
      <c r="E168" s="358"/>
      <c r="F168" s="358"/>
      <c r="G168" s="358"/>
    </row>
    <row r="169" spans="2:7" s="6" customFormat="1" ht="14.25">
      <c r="B169" s="358"/>
      <c r="C169" s="358"/>
      <c r="D169" s="358"/>
      <c r="E169" s="358"/>
      <c r="F169" s="358"/>
      <c r="G169" s="358"/>
    </row>
    <row r="170" spans="2:7" s="6" customFormat="1" ht="14.25">
      <c r="B170" s="358"/>
      <c r="C170" s="358"/>
      <c r="D170" s="358"/>
      <c r="E170" s="358"/>
      <c r="F170" s="358"/>
      <c r="G170" s="358"/>
    </row>
    <row r="171" spans="2:7" s="6" customFormat="1" ht="14.25">
      <c r="B171" s="358"/>
      <c r="C171" s="358"/>
      <c r="D171" s="358"/>
      <c r="E171" s="358"/>
      <c r="F171" s="358"/>
      <c r="G171" s="358"/>
    </row>
    <row r="172" spans="2:7" s="6" customFormat="1" ht="14.25">
      <c r="B172" s="358"/>
      <c r="C172" s="358"/>
      <c r="D172" s="358"/>
      <c r="E172" s="358"/>
      <c r="F172" s="358"/>
      <c r="G172" s="358"/>
    </row>
    <row r="173" spans="2:7" s="6" customFormat="1" ht="14.25">
      <c r="B173" s="358"/>
      <c r="C173" s="358"/>
      <c r="D173" s="358"/>
      <c r="E173" s="358"/>
      <c r="F173" s="358"/>
      <c r="G173" s="358"/>
    </row>
    <row r="174" spans="2:7" s="6" customFormat="1" ht="14.25">
      <c r="B174" s="358"/>
      <c r="C174" s="358"/>
      <c r="D174" s="358"/>
      <c r="E174" s="358"/>
      <c r="F174" s="358"/>
      <c r="G174" s="358"/>
    </row>
    <row r="175" spans="2:7" s="6" customFormat="1" ht="14.25">
      <c r="B175" s="358"/>
      <c r="C175" s="358"/>
      <c r="D175" s="358"/>
      <c r="E175" s="358"/>
      <c r="F175" s="358"/>
      <c r="G175" s="358"/>
    </row>
    <row r="176" spans="2:7" s="6" customFormat="1" ht="14.25">
      <c r="B176" s="358"/>
      <c r="C176" s="358"/>
      <c r="D176" s="358"/>
      <c r="E176" s="358"/>
      <c r="F176" s="358"/>
      <c r="G176" s="358"/>
    </row>
    <row r="177" spans="2:7" s="6" customFormat="1" ht="14.25">
      <c r="B177" s="358"/>
      <c r="C177" s="358"/>
      <c r="D177" s="358"/>
      <c r="E177" s="358"/>
      <c r="F177" s="358"/>
      <c r="G177" s="358"/>
    </row>
    <row r="178" spans="2:7" s="6" customFormat="1" ht="14.25">
      <c r="B178" s="358"/>
      <c r="C178" s="358"/>
      <c r="D178" s="358"/>
      <c r="E178" s="358"/>
      <c r="F178" s="358"/>
      <c r="G178" s="358"/>
    </row>
    <row r="179" spans="2:7" s="6" customFormat="1" ht="14.25">
      <c r="B179" s="358"/>
      <c r="C179" s="358"/>
      <c r="D179" s="358"/>
      <c r="E179" s="358"/>
      <c r="F179" s="358"/>
      <c r="G179" s="358"/>
    </row>
    <row r="180" spans="2:7" s="6" customFormat="1" ht="14.25">
      <c r="B180" s="358"/>
      <c r="C180" s="358"/>
      <c r="D180" s="358"/>
      <c r="E180" s="358"/>
      <c r="F180" s="358"/>
      <c r="G180" s="358"/>
    </row>
    <row r="181" spans="2:7" s="6" customFormat="1" ht="14.25">
      <c r="B181" s="358"/>
      <c r="C181" s="358"/>
      <c r="D181" s="358"/>
      <c r="E181" s="358"/>
      <c r="F181" s="358"/>
      <c r="G181" s="358"/>
    </row>
    <row r="182" spans="2:7" s="6" customFormat="1" ht="14.25">
      <c r="B182" s="358"/>
      <c r="C182" s="358"/>
      <c r="D182" s="358"/>
      <c r="E182" s="358"/>
      <c r="F182" s="358"/>
      <c r="G182" s="358"/>
    </row>
    <row r="183" spans="2:7" s="6" customFormat="1" ht="14.25">
      <c r="B183" s="358"/>
      <c r="C183" s="358"/>
      <c r="D183" s="358"/>
      <c r="E183" s="358"/>
      <c r="F183" s="358"/>
      <c r="G183" s="358"/>
    </row>
    <row r="184" spans="2:7" s="6" customFormat="1" ht="14.25">
      <c r="B184" s="358"/>
      <c r="C184" s="358"/>
      <c r="D184" s="358"/>
      <c r="E184" s="358"/>
      <c r="F184" s="358"/>
      <c r="G184" s="358"/>
    </row>
    <row r="185" spans="2:7" s="6" customFormat="1" ht="14.25">
      <c r="B185" s="358"/>
      <c r="C185" s="358"/>
      <c r="D185" s="358"/>
      <c r="E185" s="358"/>
      <c r="F185" s="358"/>
      <c r="G185" s="358"/>
    </row>
    <row r="186" spans="2:7" s="6" customFormat="1" ht="14.25">
      <c r="B186" s="358"/>
      <c r="C186" s="358"/>
      <c r="D186" s="358"/>
      <c r="E186" s="358"/>
      <c r="F186" s="358"/>
      <c r="G186" s="358"/>
    </row>
    <row r="187" spans="2:7" s="6" customFormat="1" ht="14.25">
      <c r="B187" s="358"/>
      <c r="C187" s="358"/>
      <c r="D187" s="358"/>
      <c r="E187" s="358"/>
      <c r="F187" s="358"/>
      <c r="G187" s="358"/>
    </row>
    <row r="188" spans="2:7" s="6" customFormat="1" ht="14.25">
      <c r="B188" s="358"/>
      <c r="C188" s="358"/>
      <c r="D188" s="358"/>
      <c r="E188" s="358"/>
      <c r="F188" s="358"/>
      <c r="G188" s="358"/>
    </row>
    <row r="189" spans="2:7" s="6" customFormat="1" ht="14.25">
      <c r="B189" s="358"/>
      <c r="C189" s="358"/>
      <c r="D189" s="358"/>
      <c r="E189" s="358"/>
      <c r="F189" s="358"/>
      <c r="G189" s="358"/>
    </row>
    <row r="190" spans="2:7" s="6" customFormat="1" ht="14.25">
      <c r="B190" s="358"/>
      <c r="C190" s="358"/>
      <c r="D190" s="358"/>
      <c r="E190" s="358"/>
      <c r="F190" s="358"/>
      <c r="G190" s="358"/>
    </row>
    <row r="191" spans="2:7" s="6" customFormat="1" ht="14.25">
      <c r="B191" s="358"/>
      <c r="C191" s="358"/>
      <c r="D191" s="358"/>
      <c r="E191" s="358"/>
      <c r="F191" s="358"/>
      <c r="G191" s="358"/>
    </row>
  </sheetData>
  <mergeCells count="1">
    <mergeCell ref="A32:G33"/>
  </mergeCells>
  <printOptions horizontalCentered="1"/>
  <pageMargins left="0.5" right="0.5" top="0.5" bottom="0.5" header="0.5" footer="0"/>
  <pageSetup horizontalDpi="600" verticalDpi="600" orientation="landscape" scale="80" r:id="rId1"/>
  <headerFooter alignWithMargins="0">
    <oddFooter>&amp;CPage 7</oddFooter>
  </headerFooter>
</worksheet>
</file>

<file path=xl/worksheets/sheet9.xml><?xml version="1.0" encoding="utf-8"?>
<worksheet xmlns="http://schemas.openxmlformats.org/spreadsheetml/2006/main" xmlns:r="http://schemas.openxmlformats.org/officeDocument/2006/relationships">
  <dimension ref="A1:V45"/>
  <sheetViews>
    <sheetView tabSelected="1" workbookViewId="0" topLeftCell="A7">
      <selection activeCell="A31" sqref="A31:IV31"/>
    </sheetView>
  </sheetViews>
  <sheetFormatPr defaultColWidth="9.140625" defaultRowHeight="12.75"/>
  <cols>
    <col min="1" max="1" width="41.421875" style="1" customWidth="1"/>
    <col min="2" max="7" width="17.7109375" style="342" customWidth="1"/>
    <col min="8" max="8" width="15.8515625" style="1" customWidth="1"/>
    <col min="9" max="9" width="11.421875" style="1" bestFit="1" customWidth="1"/>
    <col min="10" max="16384" width="9.140625" style="1" customWidth="1"/>
  </cols>
  <sheetData>
    <row r="1" spans="1:7" s="111" customFormat="1" ht="25.5">
      <c r="A1" s="110" t="s">
        <v>166</v>
      </c>
      <c r="B1" s="344"/>
      <c r="C1" s="344"/>
      <c r="D1" s="344"/>
      <c r="E1" s="344"/>
      <c r="F1" s="344"/>
      <c r="G1" s="345"/>
    </row>
    <row r="2" spans="1:7" s="40" customFormat="1" ht="18" customHeight="1">
      <c r="A2" s="16"/>
      <c r="B2" s="346"/>
      <c r="C2" s="346"/>
      <c r="D2" s="346"/>
      <c r="E2" s="346"/>
      <c r="F2" s="346"/>
      <c r="G2" s="347"/>
    </row>
    <row r="3" spans="1:7" ht="18" customHeight="1">
      <c r="A3" s="363" t="s">
        <v>272</v>
      </c>
      <c r="B3" s="364"/>
      <c r="C3" s="364"/>
      <c r="D3" s="364"/>
      <c r="E3" s="364"/>
      <c r="F3" s="364"/>
      <c r="G3" s="365"/>
    </row>
    <row r="4" spans="1:7" ht="15.75">
      <c r="A4" s="363" t="s">
        <v>295</v>
      </c>
      <c r="B4" s="364"/>
      <c r="C4" s="364"/>
      <c r="D4" s="364"/>
      <c r="E4" s="364"/>
      <c r="F4" s="364"/>
      <c r="G4" s="365"/>
    </row>
    <row r="5" spans="1:7" s="6" customFormat="1" ht="15">
      <c r="A5" s="427" t="s">
        <v>0</v>
      </c>
      <c r="B5" s="348"/>
      <c r="C5" s="348"/>
      <c r="D5" s="348"/>
      <c r="E5" s="348"/>
      <c r="F5" s="348"/>
      <c r="G5" s="347"/>
    </row>
    <row r="6" spans="2:7" s="6" customFormat="1" ht="31.5" customHeight="1">
      <c r="B6" s="349" t="s">
        <v>32</v>
      </c>
      <c r="C6" s="349" t="s">
        <v>33</v>
      </c>
      <c r="D6" s="349" t="s">
        <v>139</v>
      </c>
      <c r="E6" s="349" t="s">
        <v>154</v>
      </c>
      <c r="F6" s="349" t="s">
        <v>131</v>
      </c>
      <c r="G6" s="350" t="s">
        <v>167</v>
      </c>
    </row>
    <row r="7" spans="1:7" s="6" customFormat="1" ht="15.75" customHeight="1">
      <c r="A7" s="42" t="s">
        <v>273</v>
      </c>
      <c r="B7" s="351"/>
      <c r="C7" s="351"/>
      <c r="D7" s="351"/>
      <c r="E7" s="351"/>
      <c r="F7" s="351"/>
      <c r="G7" s="351"/>
    </row>
    <row r="8" spans="1:8" s="44" customFormat="1" ht="15.75" customHeight="1">
      <c r="A8" s="43" t="s">
        <v>20</v>
      </c>
      <c r="B8" s="226">
        <f>-'[7]Trial Balance'!E205</f>
        <v>16003666</v>
      </c>
      <c r="C8" s="226">
        <f>-'[7]Trial Balance'!E204</f>
        <v>-95467</v>
      </c>
      <c r="D8" s="226">
        <f>-'[7]Trial Balance'!E203</f>
        <v>-3452</v>
      </c>
      <c r="E8" s="226">
        <f>-'[7]Trial Balance'!E202</f>
        <v>98</v>
      </c>
      <c r="F8" s="437">
        <v>0</v>
      </c>
      <c r="G8" s="406">
        <f>SUM(B8:F8)</f>
        <v>15904845</v>
      </c>
      <c r="H8" s="118"/>
    </row>
    <row r="9" spans="1:8" s="6" customFormat="1" ht="15.75" customHeight="1">
      <c r="A9" s="45" t="s">
        <v>288</v>
      </c>
      <c r="B9" s="405">
        <f>-'[7]Trial Balance'!E210</f>
        <v>5201534</v>
      </c>
      <c r="C9" s="405">
        <f>-'[7]Trial Balance'!E209</f>
        <v>-30185</v>
      </c>
      <c r="D9" s="405">
        <f>-'[7]Trial Balance'!E208</f>
        <v>-1591</v>
      </c>
      <c r="E9" s="405">
        <f>-'[7]Trial Balance'!E207</f>
        <v>-10</v>
      </c>
      <c r="F9" s="404">
        <v>0</v>
      </c>
      <c r="G9" s="405">
        <f>SUM(B9:F9)</f>
        <v>5169748</v>
      </c>
      <c r="H9" s="118"/>
    </row>
    <row r="10" spans="1:22" s="6" customFormat="1" ht="15.75" customHeight="1">
      <c r="A10" s="45" t="s">
        <v>1</v>
      </c>
      <c r="B10" s="405">
        <f>-'[7]Trial Balance'!E213</f>
        <v>73881</v>
      </c>
      <c r="C10" s="405">
        <f>-'[7]Trial Balance'!E212</f>
        <v>-909</v>
      </c>
      <c r="D10" s="404"/>
      <c r="E10" s="404"/>
      <c r="F10" s="404">
        <v>0</v>
      </c>
      <c r="G10" s="405">
        <f>SUM(B10:F10)</f>
        <v>72972</v>
      </c>
      <c r="H10" s="118"/>
      <c r="I10" s="38"/>
      <c r="J10" s="38"/>
      <c r="K10" s="38"/>
      <c r="L10" s="38"/>
      <c r="M10" s="38"/>
      <c r="N10" s="38"/>
      <c r="O10" s="38"/>
      <c r="P10" s="38"/>
      <c r="Q10" s="38"/>
      <c r="R10" s="38"/>
      <c r="S10" s="38"/>
      <c r="T10" s="38"/>
      <c r="U10" s="38"/>
      <c r="V10" s="38"/>
    </row>
    <row r="11" spans="1:22" s="23" customFormat="1" ht="15.75" customHeight="1" thickBot="1">
      <c r="A11" s="46" t="s">
        <v>277</v>
      </c>
      <c r="B11" s="407">
        <f aca="true" t="shared" si="0" ref="B11:G11">SUM(B8:B10)</f>
        <v>21279081</v>
      </c>
      <c r="C11" s="407">
        <f t="shared" si="0"/>
        <v>-126561</v>
      </c>
      <c r="D11" s="408">
        <f t="shared" si="0"/>
        <v>-5043</v>
      </c>
      <c r="E11" s="408">
        <f t="shared" si="0"/>
        <v>88</v>
      </c>
      <c r="F11" s="409">
        <f t="shared" si="0"/>
        <v>0</v>
      </c>
      <c r="G11" s="433">
        <f t="shared" si="0"/>
        <v>21147565</v>
      </c>
      <c r="H11" s="366"/>
      <c r="I11" s="366"/>
      <c r="J11" s="366"/>
      <c r="K11" s="366"/>
      <c r="L11" s="366"/>
      <c r="M11" s="366"/>
      <c r="N11" s="366"/>
      <c r="O11" s="366"/>
      <c r="P11" s="366"/>
      <c r="Q11" s="366"/>
      <c r="R11" s="366"/>
      <c r="S11" s="366"/>
      <c r="T11" s="366"/>
      <c r="U11" s="366"/>
      <c r="V11" s="366"/>
    </row>
    <row r="12" spans="1:22" s="23" customFormat="1" ht="15.75" customHeight="1" thickTop="1">
      <c r="A12" s="45"/>
      <c r="B12" s="343"/>
      <c r="C12" s="343"/>
      <c r="D12" s="343"/>
      <c r="E12" s="343"/>
      <c r="F12" s="343"/>
      <c r="G12" s="367"/>
      <c r="H12" s="368"/>
      <c r="I12" s="47"/>
      <c r="J12" s="366"/>
      <c r="K12" s="366"/>
      <c r="L12" s="366"/>
      <c r="M12" s="366"/>
      <c r="N12" s="366"/>
      <c r="O12" s="366"/>
      <c r="P12" s="366"/>
      <c r="Q12" s="366"/>
      <c r="R12" s="366"/>
      <c r="S12" s="366"/>
      <c r="T12" s="366"/>
      <c r="U12" s="366"/>
      <c r="V12" s="366"/>
    </row>
    <row r="13" spans="1:22" s="23" customFormat="1" ht="30" customHeight="1">
      <c r="A13" s="48" t="s">
        <v>302</v>
      </c>
      <c r="B13" s="343"/>
      <c r="C13" s="343"/>
      <c r="D13" s="343"/>
      <c r="E13" s="343"/>
      <c r="F13" s="343"/>
      <c r="G13" s="343"/>
      <c r="H13" s="203"/>
      <c r="I13" s="366"/>
      <c r="J13" s="366"/>
      <c r="K13" s="366"/>
      <c r="L13" s="366"/>
      <c r="M13" s="366"/>
      <c r="N13" s="366"/>
      <c r="O13" s="366"/>
      <c r="P13" s="366"/>
      <c r="Q13" s="366"/>
      <c r="R13" s="366"/>
      <c r="S13" s="366"/>
      <c r="T13" s="366"/>
      <c r="U13" s="366"/>
      <c r="V13" s="366"/>
    </row>
    <row r="14" spans="1:22" s="23" customFormat="1" ht="15.75" customHeight="1">
      <c r="A14" s="45" t="s">
        <v>20</v>
      </c>
      <c r="B14" s="405">
        <f>-'[7]Trial Balance'!E35</f>
        <v>8106000</v>
      </c>
      <c r="C14" s="437">
        <v>0</v>
      </c>
      <c r="D14" s="437">
        <v>0</v>
      </c>
      <c r="E14" s="437">
        <v>0</v>
      </c>
      <c r="F14" s="437">
        <v>0</v>
      </c>
      <c r="G14" s="405">
        <f>SUM(B14:F14)</f>
        <v>8106000</v>
      </c>
      <c r="H14" s="366"/>
      <c r="I14" s="366"/>
      <c r="J14" s="366"/>
      <c r="K14" s="366"/>
      <c r="L14" s="366"/>
      <c r="M14" s="366"/>
      <c r="N14" s="366"/>
      <c r="O14" s="366"/>
      <c r="P14" s="366"/>
      <c r="Q14" s="366"/>
      <c r="R14" s="366"/>
      <c r="S14" s="366"/>
      <c r="T14" s="366"/>
      <c r="U14" s="366"/>
      <c r="V14" s="366"/>
    </row>
    <row r="15" spans="1:22" s="23" customFormat="1" ht="15.75" customHeight="1">
      <c r="A15" s="45" t="s">
        <v>288</v>
      </c>
      <c r="B15" s="405">
        <f>-'[7]Trial Balance'!E37</f>
        <v>2607627</v>
      </c>
      <c r="C15" s="404">
        <v>0</v>
      </c>
      <c r="D15" s="404">
        <v>0</v>
      </c>
      <c r="E15" s="404">
        <v>0</v>
      </c>
      <c r="F15" s="404">
        <v>0</v>
      </c>
      <c r="G15" s="405">
        <f>SUM(B15:F15)</f>
        <v>2607627</v>
      </c>
      <c r="H15" s="366"/>
      <c r="I15" s="366"/>
      <c r="J15" s="366"/>
      <c r="K15" s="366"/>
      <c r="L15" s="366"/>
      <c r="M15" s="366"/>
      <c r="N15" s="366"/>
      <c r="O15" s="366"/>
      <c r="P15" s="366"/>
      <c r="Q15" s="366"/>
      <c r="R15" s="366"/>
      <c r="S15" s="366"/>
      <c r="T15" s="366"/>
      <c r="U15" s="366"/>
      <c r="V15" s="366"/>
    </row>
    <row r="16" spans="1:22" s="23" customFormat="1" ht="15.75" customHeight="1">
      <c r="A16" s="45" t="s">
        <v>1</v>
      </c>
      <c r="B16" s="405">
        <f>-'[7]Trial Balance'!E39</f>
        <v>35860</v>
      </c>
      <c r="C16" s="404">
        <v>0</v>
      </c>
      <c r="D16" s="404">
        <v>0</v>
      </c>
      <c r="E16" s="404">
        <v>0</v>
      </c>
      <c r="F16" s="404">
        <v>0</v>
      </c>
      <c r="G16" s="405">
        <f>SUM(B16:F16)</f>
        <v>35860</v>
      </c>
      <c r="H16" s="366"/>
      <c r="I16" s="366"/>
      <c r="J16" s="366"/>
      <c r="K16" s="366"/>
      <c r="L16" s="366"/>
      <c r="M16" s="366"/>
      <c r="N16" s="366"/>
      <c r="O16" s="366"/>
      <c r="P16" s="366"/>
      <c r="Q16" s="366"/>
      <c r="R16" s="366"/>
      <c r="S16" s="366"/>
      <c r="T16" s="366"/>
      <c r="U16" s="366"/>
      <c r="V16" s="366"/>
    </row>
    <row r="17" spans="1:22" s="23" customFormat="1" ht="15.75" customHeight="1" thickBot="1">
      <c r="A17" s="46" t="s">
        <v>277</v>
      </c>
      <c r="B17" s="407">
        <f aca="true" t="shared" si="1" ref="B17:G17">SUM(B14:B16)</f>
        <v>10749487</v>
      </c>
      <c r="C17" s="409">
        <f t="shared" si="1"/>
        <v>0</v>
      </c>
      <c r="D17" s="409">
        <f t="shared" si="1"/>
        <v>0</v>
      </c>
      <c r="E17" s="409">
        <f t="shared" si="1"/>
        <v>0</v>
      </c>
      <c r="F17" s="409">
        <f t="shared" si="1"/>
        <v>0</v>
      </c>
      <c r="G17" s="433">
        <f t="shared" si="1"/>
        <v>10749487</v>
      </c>
      <c r="H17" s="366"/>
      <c r="I17" s="366"/>
      <c r="J17" s="366"/>
      <c r="K17" s="366"/>
      <c r="L17" s="366"/>
      <c r="M17" s="366"/>
      <c r="N17" s="366"/>
      <c r="O17" s="366"/>
      <c r="P17" s="366"/>
      <c r="Q17" s="366"/>
      <c r="R17" s="366"/>
      <c r="S17" s="366"/>
      <c r="T17" s="366"/>
      <c r="U17" s="366"/>
      <c r="V17" s="366"/>
    </row>
    <row r="18" spans="1:22" s="23" customFormat="1" ht="15.75" customHeight="1" thickTop="1">
      <c r="A18" s="45"/>
      <c r="B18" s="343"/>
      <c r="C18" s="343"/>
      <c r="D18" s="343"/>
      <c r="E18" s="343"/>
      <c r="F18" s="343"/>
      <c r="G18" s="352"/>
      <c r="H18" s="369"/>
      <c r="I18" s="366"/>
      <c r="J18" s="366"/>
      <c r="K18" s="366"/>
      <c r="L18" s="366"/>
      <c r="M18" s="366"/>
      <c r="N18" s="366"/>
      <c r="O18" s="366"/>
      <c r="P18" s="366"/>
      <c r="Q18" s="366"/>
      <c r="R18" s="366"/>
      <c r="S18" s="366"/>
      <c r="T18" s="366"/>
      <c r="U18" s="366"/>
      <c r="V18" s="366"/>
    </row>
    <row r="19" spans="1:22" s="23" customFormat="1" ht="30" customHeight="1">
      <c r="A19" s="48" t="s">
        <v>145</v>
      </c>
      <c r="B19" s="343"/>
      <c r="C19" s="343"/>
      <c r="D19" s="343"/>
      <c r="E19" s="343"/>
      <c r="F19" s="343"/>
      <c r="G19" s="343"/>
      <c r="H19" s="366"/>
      <c r="I19" s="366"/>
      <c r="J19" s="366"/>
      <c r="K19" s="366"/>
      <c r="L19" s="366"/>
      <c r="M19" s="366"/>
      <c r="N19" s="366"/>
      <c r="O19" s="366"/>
      <c r="P19" s="366"/>
      <c r="Q19" s="366"/>
      <c r="R19" s="366"/>
      <c r="S19" s="366"/>
      <c r="T19" s="366"/>
      <c r="U19" s="366"/>
      <c r="V19" s="366"/>
    </row>
    <row r="20" spans="1:22" s="23" customFormat="1" ht="15.75" customHeight="1">
      <c r="A20" s="45" t="s">
        <v>20</v>
      </c>
      <c r="B20" s="404">
        <f>'[8]Premiums YTD-p8'!B20</f>
        <v>0</v>
      </c>
      <c r="C20" s="405">
        <f>'[8]Premiums YTD-p8'!C20</f>
        <v>6494180</v>
      </c>
      <c r="D20" s="404">
        <f>'[8]Premiums YTD-p8'!D20</f>
        <v>0</v>
      </c>
      <c r="E20" s="404">
        <f>'[8]Premiums YTD-p8'!E20</f>
        <v>0</v>
      </c>
      <c r="F20" s="404">
        <f>'[8]Premiums YTD-p8'!F20</f>
        <v>0</v>
      </c>
      <c r="G20" s="405">
        <f>SUM(B20:F20)</f>
        <v>6494180</v>
      </c>
      <c r="H20" s="366"/>
      <c r="I20" s="366"/>
      <c r="J20" s="366"/>
      <c r="K20" s="366"/>
      <c r="L20" s="366"/>
      <c r="M20" s="366"/>
      <c r="N20" s="366"/>
      <c r="O20" s="366"/>
      <c r="P20" s="366"/>
      <c r="Q20" s="366"/>
      <c r="R20" s="366"/>
      <c r="S20" s="366"/>
      <c r="T20" s="366"/>
      <c r="U20" s="366"/>
      <c r="V20" s="366"/>
    </row>
    <row r="21" spans="1:22" s="23" customFormat="1" ht="15.75" customHeight="1">
      <c r="A21" s="45" t="s">
        <v>288</v>
      </c>
      <c r="B21" s="404">
        <f>'[8]Premiums YTD-p8'!B21</f>
        <v>0</v>
      </c>
      <c r="C21" s="405">
        <f>'[8]Premiums YTD-p8'!C21</f>
        <v>2362142</v>
      </c>
      <c r="D21" s="404">
        <f>'[8]Premiums YTD-p8'!D21</f>
        <v>0</v>
      </c>
      <c r="E21" s="404">
        <f>'[8]Premiums YTD-p8'!E21</f>
        <v>0</v>
      </c>
      <c r="F21" s="404">
        <f>'[8]Premiums YTD-p8'!F21</f>
        <v>0</v>
      </c>
      <c r="G21" s="405">
        <f>SUM(B21:F21)</f>
        <v>2362142</v>
      </c>
      <c r="H21" s="366"/>
      <c r="I21" s="366"/>
      <c r="J21" s="366"/>
      <c r="K21" s="366"/>
      <c r="L21" s="366"/>
      <c r="M21" s="366"/>
      <c r="N21" s="366"/>
      <c r="O21" s="366"/>
      <c r="P21" s="366"/>
      <c r="Q21" s="366"/>
      <c r="R21" s="366"/>
      <c r="S21" s="366"/>
      <c r="T21" s="366"/>
      <c r="U21" s="366"/>
      <c r="V21" s="366"/>
    </row>
    <row r="22" spans="1:22" s="23" customFormat="1" ht="15.75" customHeight="1">
      <c r="A22" s="45" t="s">
        <v>1</v>
      </c>
      <c r="B22" s="404">
        <f>'[8]Premiums YTD-p8'!B22</f>
        <v>0</v>
      </c>
      <c r="C22" s="405">
        <f>'[8]Premiums YTD-p8'!C22</f>
        <v>40804</v>
      </c>
      <c r="D22" s="404">
        <f>'[8]Premiums YTD-p8'!D22</f>
        <v>0</v>
      </c>
      <c r="E22" s="404">
        <f>'[8]Premiums YTD-p8'!E22</f>
        <v>0</v>
      </c>
      <c r="F22" s="404">
        <f>'[8]Premiums YTD-p8'!F22</f>
        <v>0</v>
      </c>
      <c r="G22" s="405">
        <f>SUM(B22:F22)</f>
        <v>40804</v>
      </c>
      <c r="H22" s="366"/>
      <c r="I22" s="366"/>
      <c r="J22" s="366"/>
      <c r="K22" s="366"/>
      <c r="L22" s="366"/>
      <c r="M22" s="366"/>
      <c r="N22" s="366"/>
      <c r="O22" s="366"/>
      <c r="P22" s="366"/>
      <c r="Q22" s="366"/>
      <c r="R22" s="366"/>
      <c r="S22" s="366"/>
      <c r="T22" s="366"/>
      <c r="U22" s="366"/>
      <c r="V22" s="366"/>
    </row>
    <row r="23" spans="1:22" s="23" customFormat="1" ht="15.75" customHeight="1" thickBot="1">
      <c r="A23" s="46" t="s">
        <v>277</v>
      </c>
      <c r="B23" s="409">
        <f aca="true" t="shared" si="2" ref="B23:G23">SUM(B20:B22)</f>
        <v>0</v>
      </c>
      <c r="C23" s="407">
        <f t="shared" si="2"/>
        <v>8897126</v>
      </c>
      <c r="D23" s="409">
        <f t="shared" si="2"/>
        <v>0</v>
      </c>
      <c r="E23" s="409">
        <f t="shared" si="2"/>
        <v>0</v>
      </c>
      <c r="F23" s="409">
        <f t="shared" si="2"/>
        <v>0</v>
      </c>
      <c r="G23" s="433">
        <f t="shared" si="2"/>
        <v>8897126</v>
      </c>
      <c r="H23" s="366"/>
      <c r="I23" s="366"/>
      <c r="J23" s="366"/>
      <c r="K23" s="366"/>
      <c r="L23" s="366"/>
      <c r="M23" s="366"/>
      <c r="N23" s="366"/>
      <c r="O23" s="366"/>
      <c r="P23" s="366"/>
      <c r="Q23" s="366"/>
      <c r="R23" s="366"/>
      <c r="S23" s="366"/>
      <c r="T23" s="366"/>
      <c r="U23" s="366"/>
      <c r="V23" s="366"/>
    </row>
    <row r="24" spans="1:22" s="23" customFormat="1" ht="15.75" customHeight="1" thickTop="1">
      <c r="A24" s="45"/>
      <c r="B24" s="343"/>
      <c r="C24" s="343"/>
      <c r="D24" s="343"/>
      <c r="E24" s="343"/>
      <c r="F24" s="343"/>
      <c r="G24" s="367"/>
      <c r="H24" s="47"/>
      <c r="I24" s="366"/>
      <c r="J24" s="366"/>
      <c r="K24" s="366"/>
      <c r="L24" s="366"/>
      <c r="M24" s="366"/>
      <c r="N24" s="366"/>
      <c r="O24" s="366"/>
      <c r="P24" s="366"/>
      <c r="Q24" s="366"/>
      <c r="R24" s="366"/>
      <c r="S24" s="366"/>
      <c r="T24" s="366"/>
      <c r="U24" s="366"/>
      <c r="V24" s="366"/>
    </row>
    <row r="25" spans="1:22" s="23" customFormat="1" ht="15.75" customHeight="1">
      <c r="A25" s="48" t="s">
        <v>278</v>
      </c>
      <c r="B25" s="343"/>
      <c r="C25" s="343"/>
      <c r="D25" s="343"/>
      <c r="E25" s="343"/>
      <c r="F25" s="343"/>
      <c r="G25" s="343"/>
      <c r="H25" s="366"/>
      <c r="I25" s="366"/>
      <c r="J25" s="366"/>
      <c r="K25" s="366"/>
      <c r="L25" s="366"/>
      <c r="M25" s="366"/>
      <c r="N25" s="366"/>
      <c r="O25" s="366"/>
      <c r="P25" s="366"/>
      <c r="Q25" s="366"/>
      <c r="R25" s="366"/>
      <c r="S25" s="366"/>
      <c r="T25" s="366"/>
      <c r="U25" s="366"/>
      <c r="V25" s="366"/>
    </row>
    <row r="26" spans="1:22" s="23" customFormat="1" ht="15.75" customHeight="1">
      <c r="A26" s="45" t="s">
        <v>12</v>
      </c>
      <c r="B26" s="411">
        <f aca="true" t="shared" si="3" ref="B26:D28">B8-(B14-B20)</f>
        <v>7897666</v>
      </c>
      <c r="C26" s="405">
        <f>C8-(C14-C20)</f>
        <v>6398713</v>
      </c>
      <c r="D26" s="405">
        <f t="shared" si="3"/>
        <v>-3452</v>
      </c>
      <c r="E26" s="412">
        <f aca="true" t="shared" si="4" ref="E26:F28">E8-(E14-E20)</f>
        <v>98</v>
      </c>
      <c r="F26" s="404">
        <f t="shared" si="4"/>
        <v>0</v>
      </c>
      <c r="G26" s="405">
        <f>SUM(B26:F26)</f>
        <v>14293025</v>
      </c>
      <c r="H26" s="366"/>
      <c r="I26" s="366"/>
      <c r="J26" s="366"/>
      <c r="K26" s="366"/>
      <c r="L26" s="366"/>
      <c r="M26" s="366"/>
      <c r="N26" s="366"/>
      <c r="O26" s="366"/>
      <c r="P26" s="366"/>
      <c r="Q26" s="366"/>
      <c r="R26" s="366"/>
      <c r="S26" s="366"/>
      <c r="T26" s="366"/>
      <c r="U26" s="366"/>
      <c r="V26" s="366"/>
    </row>
    <row r="27" spans="1:22" s="23" customFormat="1" ht="15.75" customHeight="1">
      <c r="A27" s="45" t="s">
        <v>23</v>
      </c>
      <c r="B27" s="411">
        <f t="shared" si="3"/>
        <v>2593907</v>
      </c>
      <c r="C27" s="405">
        <f>C9-(C15-C21)</f>
        <v>2331957</v>
      </c>
      <c r="D27" s="405">
        <f t="shared" si="3"/>
        <v>-1591</v>
      </c>
      <c r="E27" s="405">
        <f t="shared" si="4"/>
        <v>-10</v>
      </c>
      <c r="F27" s="404">
        <f t="shared" si="4"/>
        <v>0</v>
      </c>
      <c r="G27" s="405">
        <f>SUM(B27:F27)</f>
        <v>4924263</v>
      </c>
      <c r="H27" s="366"/>
      <c r="I27" s="366"/>
      <c r="J27" s="366"/>
      <c r="K27" s="366"/>
      <c r="L27" s="366"/>
      <c r="M27" s="366"/>
      <c r="N27" s="366"/>
      <c r="O27" s="366"/>
      <c r="P27" s="366"/>
      <c r="Q27" s="366"/>
      <c r="R27" s="366"/>
      <c r="S27" s="366"/>
      <c r="T27" s="366"/>
      <c r="U27" s="366"/>
      <c r="V27" s="366"/>
    </row>
    <row r="28" spans="1:22" s="23" customFormat="1" ht="15.75" customHeight="1">
      <c r="A28" s="49" t="s">
        <v>13</v>
      </c>
      <c r="B28" s="411">
        <f t="shared" si="3"/>
        <v>38021</v>
      </c>
      <c r="C28" s="405">
        <f>C10-(C16-C22)</f>
        <v>39895</v>
      </c>
      <c r="D28" s="404">
        <f t="shared" si="3"/>
        <v>0</v>
      </c>
      <c r="E28" s="404">
        <f t="shared" si="4"/>
        <v>0</v>
      </c>
      <c r="F28" s="404">
        <f t="shared" si="4"/>
        <v>0</v>
      </c>
      <c r="G28" s="405">
        <f>SUM(B28:F28)</f>
        <v>77916</v>
      </c>
      <c r="H28" s="366"/>
      <c r="I28" s="366"/>
      <c r="J28" s="366"/>
      <c r="K28" s="366"/>
      <c r="L28" s="366"/>
      <c r="M28" s="366"/>
      <c r="N28" s="366"/>
      <c r="O28" s="366"/>
      <c r="P28" s="366"/>
      <c r="Q28" s="366"/>
      <c r="R28" s="366"/>
      <c r="S28" s="366"/>
      <c r="T28" s="366"/>
      <c r="U28" s="366"/>
      <c r="V28" s="366"/>
    </row>
    <row r="29" spans="1:22" s="23" customFormat="1" ht="15.75" customHeight="1" thickBot="1">
      <c r="A29" s="50" t="s">
        <v>277</v>
      </c>
      <c r="B29" s="205">
        <f aca="true" t="shared" si="5" ref="B29:G29">SUM(B26:B28)</f>
        <v>10529594</v>
      </c>
      <c r="C29" s="205">
        <f t="shared" si="5"/>
        <v>8770565</v>
      </c>
      <c r="D29" s="205">
        <f t="shared" si="5"/>
        <v>-5043</v>
      </c>
      <c r="E29" s="205">
        <f t="shared" si="5"/>
        <v>88</v>
      </c>
      <c r="F29" s="413">
        <f t="shared" si="5"/>
        <v>0</v>
      </c>
      <c r="G29" s="410">
        <f t="shared" si="5"/>
        <v>19295204</v>
      </c>
      <c r="H29" s="366"/>
      <c r="I29" s="366"/>
      <c r="J29" s="366"/>
      <c r="K29" s="366"/>
      <c r="L29" s="366"/>
      <c r="M29" s="366"/>
      <c r="N29" s="366"/>
      <c r="O29" s="366"/>
      <c r="P29" s="366"/>
      <c r="Q29" s="366"/>
      <c r="R29" s="366"/>
      <c r="S29" s="366"/>
      <c r="T29" s="366"/>
      <c r="U29" s="366"/>
      <c r="V29" s="366"/>
    </row>
    <row r="30" spans="2:8" s="6" customFormat="1" ht="15.75" customHeight="1" thickTop="1">
      <c r="B30" s="367"/>
      <c r="C30" s="367"/>
      <c r="D30" s="367"/>
      <c r="E30" s="367"/>
      <c r="F30" s="367"/>
      <c r="G30" s="367"/>
      <c r="H30" s="109"/>
    </row>
    <row r="31" spans="2:7" s="6" customFormat="1" ht="15.75" customHeight="1">
      <c r="B31" s="367"/>
      <c r="C31" s="367"/>
      <c r="D31" s="367"/>
      <c r="E31" s="367"/>
      <c r="F31" s="367"/>
      <c r="G31" s="367"/>
    </row>
    <row r="32" spans="1:8" s="495" customFormat="1" ht="15" customHeight="1">
      <c r="A32" s="525" t="s">
        <v>312</v>
      </c>
      <c r="B32" s="525"/>
      <c r="C32" s="525"/>
      <c r="D32" s="525"/>
      <c r="E32" s="525"/>
      <c r="F32" s="525"/>
      <c r="G32" s="525"/>
      <c r="H32" s="525"/>
    </row>
    <row r="33" spans="1:8" s="495" customFormat="1" ht="12.75">
      <c r="A33" s="525"/>
      <c r="B33" s="525"/>
      <c r="C33" s="525"/>
      <c r="D33" s="525"/>
      <c r="E33" s="525"/>
      <c r="F33" s="525"/>
      <c r="G33" s="525"/>
      <c r="H33" s="525"/>
    </row>
    <row r="34" spans="1:8" s="495" customFormat="1" ht="12.75">
      <c r="A34" s="525"/>
      <c r="B34" s="525"/>
      <c r="C34" s="525"/>
      <c r="D34" s="525"/>
      <c r="E34" s="525"/>
      <c r="F34" s="525"/>
      <c r="G34" s="525"/>
      <c r="H34" s="525"/>
    </row>
    <row r="35" spans="1:8" s="495" customFormat="1" ht="12.75">
      <c r="A35" s="494"/>
      <c r="B35" s="494"/>
      <c r="C35" s="494"/>
      <c r="D35" s="494"/>
      <c r="E35" s="494"/>
      <c r="F35" s="494"/>
      <c r="G35" s="494"/>
      <c r="H35" s="494"/>
    </row>
    <row r="36" spans="2:4" s="495" customFormat="1" ht="12" customHeight="1">
      <c r="B36" s="496"/>
      <c r="C36" s="526" t="s">
        <v>313</v>
      </c>
      <c r="D36" s="526" t="s">
        <v>314</v>
      </c>
    </row>
    <row r="37" spans="2:4" s="495" customFormat="1" ht="12" customHeight="1">
      <c r="B37" s="497" t="s">
        <v>315</v>
      </c>
      <c r="C37" s="526"/>
      <c r="D37" s="526"/>
    </row>
    <row r="38" spans="1:7" s="495" customFormat="1" ht="12" customHeight="1">
      <c r="A38" s="498" t="s">
        <v>316</v>
      </c>
      <c r="B38" s="499">
        <v>478783</v>
      </c>
      <c r="C38" s="499">
        <v>1343200</v>
      </c>
      <c r="D38" s="499">
        <f>B38+C38</f>
        <v>1821983</v>
      </c>
      <c r="E38" s="500"/>
      <c r="F38" s="500"/>
      <c r="G38" s="500"/>
    </row>
    <row r="39" spans="1:7" s="495" customFormat="1" ht="12" customHeight="1">
      <c r="A39" s="498" t="s">
        <v>317</v>
      </c>
      <c r="B39" s="501">
        <v>487924</v>
      </c>
      <c r="C39" s="501">
        <v>1418672</v>
      </c>
      <c r="D39" s="501">
        <f>B39+C39</f>
        <v>1906596</v>
      </c>
      <c r="E39" s="500"/>
      <c r="F39" s="500"/>
      <c r="G39" s="500"/>
    </row>
    <row r="40" spans="1:7" s="495" customFormat="1" ht="12" customHeight="1">
      <c r="A40" s="498" t="s">
        <v>318</v>
      </c>
      <c r="B40" s="501">
        <v>509815</v>
      </c>
      <c r="C40" s="501">
        <v>1518349</v>
      </c>
      <c r="D40" s="501">
        <f>B40+C40</f>
        <v>2028164</v>
      </c>
      <c r="E40" s="500"/>
      <c r="F40" s="500"/>
      <c r="G40" s="500"/>
    </row>
    <row r="41" spans="1:7" s="495" customFormat="1" ht="12" customHeight="1">
      <c r="A41" s="498" t="s">
        <v>319</v>
      </c>
      <c r="B41" s="501">
        <v>508338</v>
      </c>
      <c r="C41" s="501">
        <v>1585267</v>
      </c>
      <c r="D41" s="501">
        <f>B41+C41</f>
        <v>2093605</v>
      </c>
      <c r="E41" s="500"/>
      <c r="F41" s="500"/>
      <c r="G41" s="500"/>
    </row>
    <row r="42" spans="1:7" s="495" customFormat="1" ht="12" customHeight="1" thickBot="1">
      <c r="A42" s="498" t="s">
        <v>320</v>
      </c>
      <c r="B42" s="502">
        <f>SUM(B38:B41)</f>
        <v>1984860</v>
      </c>
      <c r="C42" s="502">
        <f>SUM(C38:C41)</f>
        <v>5865488</v>
      </c>
      <c r="D42" s="502">
        <f>SUM(D38:D41)</f>
        <v>7850348</v>
      </c>
      <c r="E42" s="500"/>
      <c r="F42" s="500"/>
      <c r="G42" s="500"/>
    </row>
    <row r="43" spans="1:7" s="495" customFormat="1" ht="12" customHeight="1" thickTop="1">
      <c r="A43" s="498"/>
      <c r="B43" s="503"/>
      <c r="C43" s="503"/>
      <c r="D43" s="503"/>
      <c r="E43" s="500"/>
      <c r="F43" s="500"/>
      <c r="G43" s="500"/>
    </row>
    <row r="44" spans="1:8" s="495" customFormat="1" ht="12.75">
      <c r="A44" s="525" t="s">
        <v>321</v>
      </c>
      <c r="B44" s="525"/>
      <c r="C44" s="525"/>
      <c r="D44" s="525"/>
      <c r="E44" s="525"/>
      <c r="F44" s="525"/>
      <c r="G44" s="525"/>
      <c r="H44" s="525"/>
    </row>
    <row r="45" spans="1:8" s="495" customFormat="1" ht="12.75">
      <c r="A45" s="525"/>
      <c r="B45" s="525"/>
      <c r="C45" s="525"/>
      <c r="D45" s="525"/>
      <c r="E45" s="525"/>
      <c r="F45" s="525"/>
      <c r="G45" s="525"/>
      <c r="H45" s="525"/>
    </row>
  </sheetData>
  <mergeCells count="4">
    <mergeCell ref="A44:H45"/>
    <mergeCell ref="A32:H34"/>
    <mergeCell ref="C36:C37"/>
    <mergeCell ref="D36:D37"/>
  </mergeCells>
  <printOptions horizontalCentered="1"/>
  <pageMargins left="0.5" right="0.5" top="0.5" bottom="0.5" header="0.5" footer="0"/>
  <pageSetup horizontalDpi="600" verticalDpi="600" orientation="landscape" scale="75" r:id="rId1"/>
  <headerFooter alignWithMargins="0">
    <oddFooter>&amp;CPage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STATION35</dc:creator>
  <cp:keywords/>
  <dc:description/>
  <cp:lastModifiedBy>none</cp:lastModifiedBy>
  <cp:lastPrinted>2004-02-13T14:03:08Z</cp:lastPrinted>
  <dcterms:created xsi:type="dcterms:W3CDTF">1999-07-28T13:02:54Z</dcterms:created>
  <dcterms:modified xsi:type="dcterms:W3CDTF">2004-02-13T14:03:16Z</dcterms:modified>
  <cp:category/>
  <cp:version/>
  <cp:contentType/>
  <cp:contentStatus/>
</cp:coreProperties>
</file>